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ABASTECIMENTO DE ÁGUA\ENVIADO ANTONIO\AJUSTANDO\"/>
    </mc:Choice>
  </mc:AlternateContent>
  <bookViews>
    <workbookView xWindow="0" yWindow="0" windowWidth="19155" windowHeight="11640" activeTab="1"/>
  </bookViews>
  <sheets>
    <sheet name="RESUMO" sheetId="16" r:id="rId1"/>
    <sheet name="SERVIÇOS" sheetId="5" r:id="rId2"/>
    <sheet name="Cronograma" sheetId="7" state="hidden" r:id="rId3"/>
    <sheet name="Para word 1" sheetId="13" state="hidden" r:id="rId4"/>
    <sheet name="Para word 2" sheetId="12" state="hidden" r:id="rId5"/>
    <sheet name="Cron barras" sheetId="11" state="hidden" r:id="rId6"/>
    <sheet name="Resumo interceptor" sheetId="8" state="hidden" r:id="rId7"/>
    <sheet name="Interceptor(mão-de-obra)" sheetId="9" state="hidden" r:id="rId8"/>
    <sheet name="Interceptor (materiais)" sheetId="10" state="hidden" r:id="rId9"/>
    <sheet name="COMPOSIÇÕES" sheetId="21" r:id="rId10"/>
    <sheet name="BDI" sheetId="19" r:id="rId11"/>
    <sheet name="FISIC-FINANCEIRO GERAL" sheetId="2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hidden="1">#REF!</definedName>
    <definedName name="_xlnm.Print_Area" localSheetId="10">BDI!$A$1:$K$38</definedName>
    <definedName name="_xlnm.Print_Area" localSheetId="9">COMPOSIÇÕES!$A$1:$H$24</definedName>
    <definedName name="_xlnm.Print_Area" localSheetId="5">'Cron barras'!$A$2:$T$52</definedName>
    <definedName name="_xlnm.Print_Area" localSheetId="2">Cronograma!$A$10:$AU$72</definedName>
    <definedName name="_xlnm.Print_Area" localSheetId="11">'FISIC-FINANCEIRO GERAL'!$A$1:$H$24</definedName>
    <definedName name="_xlnm.Print_Area" localSheetId="0">RESUMO!$B$1:$F$26</definedName>
    <definedName name="_xlnm.Print_Area" localSheetId="6">'Resumo interceptor'!$A$1:$M$39</definedName>
    <definedName name="_xlnm.Print_Area" localSheetId="1">SERVIÇOS!$B$1:$I$27</definedName>
    <definedName name="AUXILIAR">#N/A</definedName>
    <definedName name="_xlnm.Database">#REF!</definedName>
    <definedName name="COEF_LINEAR">#REF!</definedName>
    <definedName name="comp001101">'[1]assemblies A _ E'!$B$2108:$H$2111</definedName>
    <definedName name="comp001102">'[1]assemblies A _ E'!$B$2070:$H$2073</definedName>
    <definedName name="comp001103">'[2]assemblies L _ Q'!$B$633:$H$636</definedName>
    <definedName name="comp001201">'[2]assemblies L _ Q'!$B$426:$H$448</definedName>
    <definedName name="comp001202">'[2]assemblies L _ Q'!$B$450:$H$464</definedName>
    <definedName name="comp001301">'[2]assemblies L _ Q'!$B$466:$H$469</definedName>
    <definedName name="comp002201">'[3]assemblies R _ Z'!$B$834:$H$837</definedName>
    <definedName name="comp010102">'[2]assemblies L _ Q'!$B$2205:$H$2208</definedName>
    <definedName name="comp010103">'[2]assemblies L _ Q'!$B$2210:$H$2213</definedName>
    <definedName name="comp010104">'[2]assemblies L _ Q'!$B$2215:$H$2218</definedName>
    <definedName name="comp010105">'[2]assemblies L _ Q'!$B$2220:$H$2223</definedName>
    <definedName name="comp010111">'[2]assemblies L _ Q'!$B$1335:$H$1346</definedName>
    <definedName name="comp010113">'[2]assemblies L _ Q'!$B$1348:$H$1359</definedName>
    <definedName name="comp010121">'[3]assemblies R _ Z'!$B$940:$H$951</definedName>
    <definedName name="comp010151">'[2]assemblies L _ Q'!$B$490:$H$493</definedName>
    <definedName name="comp010152">'[1]assemblies A _ E'!$B$1696:$H$1699</definedName>
    <definedName name="comp010153">'[3]assemblies R _ Z'!$B$66:$H$69</definedName>
    <definedName name="comp010154">'[2]assemblies L _ Q'!$B$476:$H$479</definedName>
    <definedName name="comp010155">'[2]assemblies L _ Q'!$B$471:$H$474</definedName>
    <definedName name="comp010156">'[1]assemblies A _ E'!$B$1930:$H$1938</definedName>
    <definedName name="comp010157">'[3]assemblies R _ Z'!$B$667:$H$670</definedName>
    <definedName name="comp010158">'[1]assemblies A _ E'!$B$1945:$H$1948</definedName>
    <definedName name="comp010159">'[2]assemblies L _ Q'!$B$2265:$H$2268</definedName>
    <definedName name="comp010160">'[1]assemblies A _ E'!$B$345:$H$352</definedName>
    <definedName name="comp010161">'[2]assemblies L _ Q'!$B$481:$H$488</definedName>
    <definedName name="comp010201">'[1]assemblies A _ E'!$B$1783:$H$1787</definedName>
    <definedName name="comp010202">'[1]assemblies A _ E'!$B$1789:$H$1793</definedName>
    <definedName name="comp010203">'[1]assemblies A _ E'!$B$1812:$H$1816</definedName>
    <definedName name="comp010204">'[1]assemblies A _ E'!$B$1847:$H$1851</definedName>
    <definedName name="comp010205">'[1]assemblies A _ E'!$B$1818:$H$1827</definedName>
    <definedName name="comp010206">'[1]assemblies A _ E'!$B$1835:$H$1839</definedName>
    <definedName name="comp010207">'[1]assemblies A _ E'!$B$1841:$H$1845</definedName>
    <definedName name="comp010208">'[1]assemblies A _ E'!$B$1853:$H$1857</definedName>
    <definedName name="comp010209">'[1]assemblies A _ E'!$B$1859:$H$1863</definedName>
    <definedName name="comp010210">'[1]assemblies A _ E'!$B$1871:$H$1875</definedName>
    <definedName name="comp010211">'[1]assemblies A _ E'!$B$1877:$H$1880</definedName>
    <definedName name="comp010212">'[1]assemblies A _ E'!$B$1882:$H$1886</definedName>
    <definedName name="comp010213">'[1]assemblies A _ E'!$B$1888:$H$1892</definedName>
    <definedName name="comp010214">'[1]assemblies A _ E'!$B$1894:$H$1898</definedName>
    <definedName name="comp010215">'[1]assemblies A _ E'!$B$1900:$H$1904</definedName>
    <definedName name="comp010216">'[1]assemblies A _ E'!$B$1906:$H$1910</definedName>
    <definedName name="comp010217">'[1]assemblies A _ E'!$B$1912:$H$1916</definedName>
    <definedName name="comp010218">'[1]assemblies A _ E'!$B$1918:$H$1922</definedName>
    <definedName name="comp010219">'[1]assemblies A _ E'!$B$1924:$H$1928</definedName>
    <definedName name="comp010220">'[1]assemblies A _ E'!$B$1940:$H$1943</definedName>
    <definedName name="comp010221">'[1]assemblies A _ E'!$B$1775:$H$1781</definedName>
    <definedName name="comp010222">'[1]assemblies A _ E'!$B$1800:$H$1804</definedName>
    <definedName name="comp010223">'[1]assemblies A _ E'!$B$1795:$H$1798</definedName>
    <definedName name="comp010224">'[1]assemblies A _ E'!$B$1806:$H$1810</definedName>
    <definedName name="comp010225">'[1]assemblies A _ E'!$B$1829:$H$1833</definedName>
    <definedName name="comp010226">'[3]assemblies R _ Z'!$B$439:$H$442</definedName>
    <definedName name="comp010227">'[1]assemblies A _ E'!$B$1865:$H$1869</definedName>
    <definedName name="comp010228">'[3]assemblies R _ Z'!$B$444:$H$448</definedName>
    <definedName name="comp010301">'[2]assemblies L _ Q'!$B$516:$H$527</definedName>
    <definedName name="comp020001">'[1]assemblies A _ E'!$B$1980:$H$1983</definedName>
    <definedName name="comp020011">'[3]assemblies R _ Z'!$B$849:$H$861</definedName>
    <definedName name="comp020101">'[1]assemblies A _ E'!$B$2270:$H$2273</definedName>
    <definedName name="comp020102">'[1]assemblies A _ E'!$B$2275:$H$2278</definedName>
    <definedName name="comp020103">'[1]assemblies A _ E'!$B$2280:$H$2283</definedName>
    <definedName name="comp020104">'[1]assemblies A _ E'!$B$2285:$H$2288</definedName>
    <definedName name="comp020105">'[1]assemblies A _ E'!$B$2290:$H$2293</definedName>
    <definedName name="comp020106">'[1]assemblies A _ E'!$B$2295:$H$2298</definedName>
    <definedName name="comp020111">'[1]assemblies A _ E'!$B$2264:$H$2268</definedName>
    <definedName name="comp020121">'[1]assemblies A _ E'!$B$2491:$H$2502</definedName>
    <definedName name="comp020122">'[1]assemblies A _ E'!$B$2504:$H$2515</definedName>
    <definedName name="comp020125">'[1]assemblies A _ E'!$B$1585:$H$1588</definedName>
    <definedName name="comp020131">'[1]assemblies A _ E'!$B$2310:$H$2317</definedName>
    <definedName name="comp020132">'[1]assemblies A _ E'!$B$2319:$H$2326</definedName>
    <definedName name="comp020133">'[1]assemblies A _ E'!$B$2328:$H$2335</definedName>
    <definedName name="comp020134">'[1]assemblies A _ E'!$B$2337:$H$2344</definedName>
    <definedName name="comp020135">'[1]assemblies A _ E'!$B$2346:$H$2353</definedName>
    <definedName name="comp020136">'[1]assemblies A _ E'!$B$2355:$H$2362</definedName>
    <definedName name="comp020137">'[1]assemblies A _ E'!$B$2364:$H$2371</definedName>
    <definedName name="comp020138">'[1]assemblies A _ E'!$B$2373:$H$2393</definedName>
    <definedName name="comp020139">'[1]assemblies A _ E'!$B$2395:$H$2415</definedName>
    <definedName name="comp020140">'[1]assemblies A _ E'!$B$2417:$H$2437</definedName>
    <definedName name="comp020141">'[1]assemblies A _ E'!$B$2183:$H$2192</definedName>
    <definedName name="comp020142">'[1]assemblies A _ E'!$B$2305:$H$2308</definedName>
    <definedName name="comp020143">'[1]assemblies A _ E'!$B$2194:$H$2207</definedName>
    <definedName name="comp020144">'[1]assemblies A _ E'!$B$2222:$H$2232</definedName>
    <definedName name="comp020145">'[1]assemblies A _ E'!$B$2234:$H$2257</definedName>
    <definedName name="comp020146">'[1]assemblies A _ E'!$B$2300:$H$2303</definedName>
    <definedName name="comp020147">'[1]assemblies A _ E'!$B$2209:$H$2220</definedName>
    <definedName name="comp020151">'[3]assemblies R _ Z'!$B$1056:$H$1059</definedName>
    <definedName name="comp020152">'[3]assemblies R _ Z'!$B$1061:$H$1064</definedName>
    <definedName name="comp020153">'[3]assemblies R _ Z'!$B$1066:$H$1069</definedName>
    <definedName name="comp020154">'[3]assemblies R _ Z'!$B$1071:$H$1074</definedName>
    <definedName name="comp020155">'[3]assemblies R _ Z'!$B$1076:$H$1079</definedName>
    <definedName name="comp020156">'[2]assemblies L _ Q'!$B$638:$H$641</definedName>
    <definedName name="comp020161">'[1]assemblies A _ E'!$B$1394:$H$1402</definedName>
    <definedName name="comp020171">'[2]assemblies L _ Q'!$B$821:$H$824</definedName>
    <definedName name="comp020172">'[2]assemblies L _ Q'!$B$826:$H$829</definedName>
    <definedName name="comp020173">'[2]assemblies L _ Q'!$B$831:$H$834</definedName>
    <definedName name="comp020174">'[2]assemblies L _ Q'!$B$836:$H$839</definedName>
    <definedName name="comp020175">'[2]assemblies L _ Q'!$B$841:$H$844</definedName>
    <definedName name="comp020176">'[2]assemblies L _ Q'!$B$846:$H$849</definedName>
    <definedName name="comp020177">'[2]assemblies L _ Q'!$B$851:$H$854</definedName>
    <definedName name="comp020178">'[2]assemblies L _ Q'!$B$856:$H$859</definedName>
    <definedName name="comp020179">'[2]assemblies L _ Q'!$B$861:$H$864</definedName>
    <definedName name="comp020180">'[2]assemblies L _ Q'!$B$866:$H$869</definedName>
    <definedName name="comp020181">'[2]assemblies L _ Q'!$B$871:$H$874</definedName>
    <definedName name="comp020182">'[2]assemblies L _ Q'!$B$876:$H$879</definedName>
    <definedName name="comp020201">'[3]assemblies R _ Z'!$B$96:$H$100</definedName>
    <definedName name="comp020202">'[3]assemblies R _ Z'!$B$91:$H$94</definedName>
    <definedName name="comp020203">'[3]assemblies R _ Z'!$B$71:$H$78</definedName>
    <definedName name="comp020204">'[3]assemblies R _ Z'!$B$80:$H$84</definedName>
    <definedName name="comp020205">'[3]assemblies R _ Z'!$B$86:$H$89</definedName>
    <definedName name="comp020301">'[3]assemblies R _ Z'!$B$1050:$H$1054</definedName>
    <definedName name="comp020302">'[1]assemblies A _ E'!$B$647:$H$655</definedName>
    <definedName name="comp020303">'[1]assemblies A _ E'!$B$1580:$H$1583</definedName>
    <definedName name="comp020304">'[1]assemblies A _ E'!$B$680:$H$694</definedName>
    <definedName name="comp020305">'[1]assemblies A _ E'!$B$727:$H$737</definedName>
    <definedName name="comp020306">'[1]assemblies A _ E'!$B$657:$H$672</definedName>
    <definedName name="comp020307">'[1]assemblies A _ E'!$B$696:$H$715</definedName>
    <definedName name="comp020308">'[1]assemblies A _ E'!$B$674:$H$678</definedName>
    <definedName name="comp020309">'[1]assemblies A _ E'!$B$717:$H$725</definedName>
    <definedName name="comp020310">'[1]assemblies A _ E'!$B$1575:$H$1578</definedName>
    <definedName name="comp020321">'[3]assemblies R _ Z'!$B$422:$H$426</definedName>
    <definedName name="comp020331">'[3]assemblies R _ Z'!$B$637:$H$655</definedName>
    <definedName name="comp020341">'[1]assemblies A _ E'!$B$2113:$H$2137</definedName>
    <definedName name="comp020342">'[1]assemblies A _ E'!$B$2139:$H$2163</definedName>
    <definedName name="comp020351">'[1]assemblies A _ E'!$B$924:$H$942</definedName>
    <definedName name="comp020361">'[2]assemblies L _ Q'!$B$2225:$H$2233</definedName>
    <definedName name="comp020401">'[1]assemblies A _ E'!$B$153:$H$163</definedName>
    <definedName name="comp020402">'[1]assemblies A _ E'!$B$2040:$H$2051</definedName>
    <definedName name="comp020403">'[3]assemblies R _ Z'!$B$10:$H$28</definedName>
    <definedName name="comp020501">'[1]assemblies A _ E'!$B$1683:$H$1694</definedName>
    <definedName name="comp020502">'[1]assemblies A _ E'!$B$1665:$H$1681</definedName>
    <definedName name="comp020601">'[3]assemblies R _ Z'!$B$892:$H$904</definedName>
    <definedName name="comp020901">'[1]assemblies A _ E'!$B$969:$H$977</definedName>
    <definedName name="comp030101">'[4]assemblies F _ K'!$B$199:$H$211</definedName>
    <definedName name="comp030102">'[4]assemblies F _ K'!$B$213:$H$224</definedName>
    <definedName name="comp030103">'[4]assemblies F _ K'!$B$173:$H$186</definedName>
    <definedName name="comp030104">'[2]assemblies L _ Q'!$B$643:$H$647</definedName>
    <definedName name="comp030105">'[4]assemblies F _ K'!$B$262:$H$271</definedName>
    <definedName name="comp030106">'[4]assemblies F _ K'!$B$226:$H$236</definedName>
    <definedName name="comp030107">'[4]assemblies F _ K'!$B$188:$H$197</definedName>
    <definedName name="comp030108">'[4]assemblies F _ K'!$B$250:$H$260</definedName>
    <definedName name="comp030109">'[4]assemblies F _ K'!$B$238:$H$248</definedName>
    <definedName name="comp030204">'[1]assemblies A _ E'!$B$439:$H$448</definedName>
    <definedName name="comp030205">'[1]assemblies A _ E'!$B$461:$H$470</definedName>
    <definedName name="comp030206">'[1]assemblies A _ E'!$B$450:$H$459</definedName>
    <definedName name="comp030207">'[1]assemblies A _ E'!$B$472:$H$481</definedName>
    <definedName name="comp030209">'[1]assemblies A _ E'!$B$483:$H$491</definedName>
    <definedName name="comp030221">'[1]assemblies A _ E'!$B$336:$H$343</definedName>
    <definedName name="comp030301">'[2]assemblies L _ Q'!$B$1800:$H$1814</definedName>
    <definedName name="comp030302">'[2]assemblies L _ Q'!$B$1816:$H$1826</definedName>
    <definedName name="comp030303">'[2]assemblies L _ Q'!$B$1828:$H$1842</definedName>
    <definedName name="comp030304">'[2]assemblies L _ Q'!$B$1844:$H$1854</definedName>
    <definedName name="comp030305">'[2]assemblies L _ Q'!$B$1856:$H$1870</definedName>
    <definedName name="comp030306">'[2]assemblies L _ Q'!$B$1872:$H$1882</definedName>
    <definedName name="comp030307">'[2]assemblies L _ Q'!$B$1884:$H$1898</definedName>
    <definedName name="comp030308">'[2]assemblies L _ Q'!$B$1900:$H$1910</definedName>
    <definedName name="comp030309">'[2]assemblies L _ Q'!$B$1912:$H$1926</definedName>
    <definedName name="comp030310">'[2]assemblies L _ Q'!$B$1928:$H$1942</definedName>
    <definedName name="comp030311">'[2]assemblies L _ Q'!$B$1944:$H$1954</definedName>
    <definedName name="comp030312">'[2]assemblies L _ Q'!$B$1956:$H$1970</definedName>
    <definedName name="comp030313">'[2]assemblies L _ Q'!$B$1972:$H$1986</definedName>
    <definedName name="comp030314">'[2]assemblies L _ Q'!$B$1988:$H$2002</definedName>
    <definedName name="comp030315">'[2]assemblies L _ Q'!$B$2004:$H$2018</definedName>
    <definedName name="comp030321">'[2]assemblies L _ Q'!$B$2139:$H$2157</definedName>
    <definedName name="comp030322">'[2]assemblies L _ Q'!$B$2159:$H$2177</definedName>
    <definedName name="comp030323">'[2]assemblies L _ Q'!$B$2179:$H$2197</definedName>
    <definedName name="comp030331">'[2]assemblies L _ Q'!$B$2031:$H$2041</definedName>
    <definedName name="comp030332">'[2]assemblies L _ Q'!$B$2043:$H$2057</definedName>
    <definedName name="comp030333">'[2]assemblies L _ Q'!$B$2059:$H$2068</definedName>
    <definedName name="comp030334">'[2]assemblies L _ Q'!$B$2070:$H$2083</definedName>
    <definedName name="comp030335">'[2]assemblies L _ Q'!$B$2085:$H$2095</definedName>
    <definedName name="comp030336">'[2]assemblies L _ Q'!$B$2097:$H$2111</definedName>
    <definedName name="comp030337">'[2]assemblies L _ Q'!$B$2113:$H$2122</definedName>
    <definedName name="comp030338">'[2]assemblies L _ Q'!$B$2124:$H$2137</definedName>
    <definedName name="comp030341">'[2]assemblies L _ Q'!$B$2020:$H$2029</definedName>
    <definedName name="comp030401">'[2]assemblies L _ Q'!$B$64:$H$68</definedName>
    <definedName name="comp030402">'[2]assemblies L _ Q'!$B$52:$H$56</definedName>
    <definedName name="comp030403">'[2]assemblies L _ Q'!$B$58:$H$62</definedName>
    <definedName name="comp030410">'[1]assemblies A _ E'!$B$58:$H$66</definedName>
    <definedName name="comp030501">'[1]assemblies A _ E'!$B$2479:$H$2489</definedName>
    <definedName name="comp030502">'[2]assemblies L _ Q'!$B$10:$H$29</definedName>
    <definedName name="comp030503">'[2]assemblies L _ Q'!$B$31:$H$50</definedName>
    <definedName name="comp030601">'[2]assemblies L _ Q'!$B$921:$H$932</definedName>
    <definedName name="comp030611">'[2]assemblies L _ Q'!$B$900:$H$919</definedName>
    <definedName name="comp030621">'[1]assemblies A _ E'!$B$811:$H$832</definedName>
    <definedName name="comp040001">'[1]assemblies A _ E'!$B$359:$H$367</definedName>
    <definedName name="comp040002">'[1]assemblies A _ E'!$B$369:$H$377</definedName>
    <definedName name="comp040003">'[1]assemblies A _ E'!$B$379:$H$387</definedName>
    <definedName name="comp040004">'[1]assemblies A _ E'!$B$389:$H$397</definedName>
    <definedName name="comp040005">'[1]assemblies A _ E'!$B$399:$H$407</definedName>
    <definedName name="comp040006">'[1]assemblies A _ E'!$B$409:$H$417</definedName>
    <definedName name="comp040007">'[1]assemblies A _ E'!$B$419:$H$427</definedName>
    <definedName name="comp040008">'[1]assemblies A _ E'!$B$429:$H$437</definedName>
    <definedName name="comp040101">'[1]assemblies A _ E'!$B$264:$H$280</definedName>
    <definedName name="comp040102">'[1]assemblies A _ E'!$B$246:$H$262</definedName>
    <definedName name="comp040110">'[1]assemblies A _ E'!$B$318:$H$334</definedName>
    <definedName name="comp040111">'[1]assemblies A _ E'!$B$300:$H$316</definedName>
    <definedName name="comp040112">'[1]assemblies A _ E'!$B$282:$H$298</definedName>
    <definedName name="comp040121">'[1]assemblies A _ E'!$B$165:$H$177</definedName>
    <definedName name="comp040131">'[1]assemblies A _ E'!$B$205:$H$215</definedName>
    <definedName name="comp040132">'[1]assemblies A _ E'!$B$217:$H$244</definedName>
    <definedName name="comp040141">'[1]assemblies A _ E'!$B$192:$H$203</definedName>
    <definedName name="comp040201">'[1]assemblies A _ E'!$B$179:$H$190</definedName>
    <definedName name="comp040301">'[1]assemblies A _ E'!$B$1950:$H$1953</definedName>
    <definedName name="comp040302">'[1]assemblies A _ E'!$B$1955:$H$1958</definedName>
    <definedName name="comp040401">'[3]assemblies R _ Z'!$B$1392:$H$1404</definedName>
    <definedName name="comp040410">'[3]assemblies R _ Z'!$B$1406:$H$1418</definedName>
    <definedName name="comp050101">'[2]assemblies L _ Q'!$B$1486:$H$1501</definedName>
    <definedName name="comp050102">'[2]assemblies L _ Q'!$B$1503:$H$1518</definedName>
    <definedName name="comp050103">'[2]assemblies L _ Q'!$B$1520:$H$1535</definedName>
    <definedName name="comp050104">'[2]assemblies L _ Q'!$B$1537:$H$1552</definedName>
    <definedName name="comp050105">'[2]assemblies L _ Q'!$B$1554:$H$1569</definedName>
    <definedName name="comp050106">'[2]assemblies L _ Q'!$B$1571:$H$1586</definedName>
    <definedName name="comp050107">'[2]assemblies L _ Q'!$B$1588:$H$1603</definedName>
    <definedName name="comp050108">'[2]assemblies L _ Q'!$B$1605:$H$1620</definedName>
    <definedName name="comp050151">'[2]assemblies L _ Q'!$B$1622:$H$1637</definedName>
    <definedName name="comp050152">'[2]assemblies L _ Q'!$B$1639:$H$1654</definedName>
    <definedName name="comp050153">'[2]assemblies L _ Q'!$B$1656:$H$1671</definedName>
    <definedName name="comp050154">'[2]assemblies L _ Q'!$B$1673:$H$1688</definedName>
    <definedName name="comp050201">'[2]assemblies L _ Q'!$B$1459:$H$1471</definedName>
    <definedName name="comp050202">'[1]assemblies A _ E'!$B$944:$H$955</definedName>
    <definedName name="comp050203">'[4]assemblies F _ K'!$B$1709:$H$1717</definedName>
    <definedName name="comp050204">'[4]assemblies F _ K'!$B$143:$H$151</definedName>
    <definedName name="comp050205">'[4]assemblies F _ K'!$B$153:$H$161</definedName>
    <definedName name="comp050206">'[4]assemblies F _ K'!$B$163:$H$171</definedName>
    <definedName name="comp050207">'[3]assemblies R _ Z'!$B$455:$H$458</definedName>
    <definedName name="comp050208">'[3]assemblies R _ Z'!$B$460:$H$463</definedName>
    <definedName name="comp050210">'[2]assemblies L _ Q'!$B$1391:$H$1405</definedName>
    <definedName name="comp050211">'[2]assemblies L _ Q'!$B$1407:$H$1422</definedName>
    <definedName name="comp050212">'[2]assemblies L _ Q'!$B$1424:$H$1439</definedName>
    <definedName name="comp050213">'[2]assemblies L _ Q'!$B$1441:$H$1457</definedName>
    <definedName name="comp050301">'[4]assemblies F _ K'!$B$2951:$H$2963</definedName>
    <definedName name="comp050302">'[4]assemblies F _ K'!$B$2965:$H$2978</definedName>
    <definedName name="comp050310">'[4]assemblies F _ K'!$B$2869:$H$2883</definedName>
    <definedName name="comp050311">'[4]assemblies F _ K'!$B$2885:$H$2899</definedName>
    <definedName name="comp050312">'[4]assemblies F _ K'!$B$2901:$H$2916</definedName>
    <definedName name="comp050313">'[4]assemblies F _ K'!$B$2918:$H$2932</definedName>
    <definedName name="comp050314">'[4]assemblies F _ K'!$B$2934:$H$2949</definedName>
    <definedName name="comp050401">'[4]assemblies F _ K'!$B$36:$H$43</definedName>
    <definedName name="comp050402">'[4]assemblies F _ K'!$B$100:$H$110</definedName>
    <definedName name="comp050403">'[4]assemblies F _ K'!$B$112:$H$120</definedName>
    <definedName name="comp050410">'[4]assemblies F _ K'!$B$45:$H$53</definedName>
    <definedName name="comp050501">'[1]assemblies A _ E'!$B$881:$H$893</definedName>
    <definedName name="comp050601">'[2]assemblies L _ Q'!$B$1776:$H$1787</definedName>
    <definedName name="comp050602">'[2]assemblies L _ Q'!$B$1473:$H$1484</definedName>
    <definedName name="comp051101">'[1]assemblies A _ E'!$B$2527:$H$2538</definedName>
    <definedName name="comp051102">'[1]assemblies A _ E'!$B$2540:$H$2551</definedName>
    <definedName name="comp051103">'[1]assemblies A _ E'!$B$2553:$H$2564</definedName>
    <definedName name="comp051104">'[1]assemblies A _ E'!$B$2566:$H$2577</definedName>
    <definedName name="comp051110">'[2]assemblies L _ Q'!$B$1376:$H$1389</definedName>
    <definedName name="comp051201">'[1]assemblies A _ E'!$B$2584:$H$2587</definedName>
    <definedName name="comp051301">'[2]assemblies L _ Q'!$B$1695:$H$1705</definedName>
    <definedName name="comp051401">'[4]assemblies F _ K'!$B$1658:$H$1669</definedName>
    <definedName name="comp051501">'[4]assemblies F _ K'!$B$27:$H$34</definedName>
    <definedName name="comp051502">'[4]assemblies F _ K'!$B$60:$H$67</definedName>
    <definedName name="comp051503">'[4]assemblies F _ K'!$B$69:$H$77</definedName>
    <definedName name="comp051504">'[4]assemblies F _ K'!$B$79:$H$88</definedName>
    <definedName name="comp051505">'[4]assemblies F _ K'!$B$122:$H$130</definedName>
    <definedName name="comp051506">'[4]assemblies F _ K'!$B$132:$H$141</definedName>
    <definedName name="comp051601">'[4]assemblies F _ K'!$B$2851:$H$2862</definedName>
    <definedName name="comp060101">'[2]assemblies L _ Q'!$B$1371:$H$1374</definedName>
    <definedName name="comp060110">'[4]assemblies F _ K'!$B$55:$H$58</definedName>
    <definedName name="comp060201">'[1]assemblies A _ E'!$B$2579:$H$2582</definedName>
    <definedName name="comp060210">'[2]assemblies L _ Q'!$B$1690:$H$1693</definedName>
    <definedName name="comp060220">'[4]assemblies F _ K'!$B$2864:$H$2867</definedName>
    <definedName name="comp060301">'[2]assemblies L _ Q'!$B$1366:$H$1369</definedName>
    <definedName name="comp060310">'[4]assemblies F _ K'!$B$2846:$H$2849</definedName>
    <definedName name="comp060401">'[3]assemblies R _ Z'!$B$42:$H$52</definedName>
    <definedName name="comp060402">'[3]assemblies R _ Z'!$B$54:$H$64</definedName>
    <definedName name="comp070001">'[3]assemblies R _ Z'!$B$657:$H$665</definedName>
    <definedName name="comp070101">'[1]assemblies A _ E'!$B$2602:$H$2616</definedName>
    <definedName name="comp070102">'[1]assemblies A _ E'!$B$2618:$H$2628</definedName>
    <definedName name="comp070103">'[1]assemblies A _ E'!$B$2630:$H$2642</definedName>
    <definedName name="comp070104">'[1]assemblies A _ E'!$B$2644:$H$2657</definedName>
    <definedName name="comp070105">'[1]assemblies A _ E'!$B$2659:$H$2670</definedName>
    <definedName name="comp070106">'[1]assemblies A _ E'!$B$2672:$H$2685</definedName>
    <definedName name="comp070107">'[1]assemblies A _ E'!$B$2687:$H$2696</definedName>
    <definedName name="comp070108">'[1]assemblies A _ E'!$B$2698:$H$2709</definedName>
    <definedName name="comp070109">'[1]assemblies A _ E'!$B$2711:$H$2714</definedName>
    <definedName name="comp070201">'[4]assemblies F _ K'!$B$1757:$H$1764</definedName>
    <definedName name="comp070301">'[3]assemblies R _ Z'!$B$953:$H$961</definedName>
    <definedName name="comp070311">'[3]assemblies R _ Z'!$B$968:$H$977</definedName>
    <definedName name="comp070321">'[3]assemblies R _ Z'!$B$963:$H$966</definedName>
    <definedName name="comp070331">'[3]assemblies R _ Z'!$B$979:$H$982</definedName>
    <definedName name="comp070341">'[2]assemblies L _ Q'!$B$1361:$H$1364</definedName>
    <definedName name="comp070401">'[1]assemblies A _ E'!$B$1741:$H$1752</definedName>
    <definedName name="comp070411">'[1]assemblies A _ E'!$B$1754:$H$1762</definedName>
    <definedName name="comp070421">'[1]assemblies A _ E'!$B$46:$H$56</definedName>
    <definedName name="comp070431">'[1]assemblies A _ E'!$B$1239:$H$1242</definedName>
    <definedName name="comp080001">'[4]assemblies F _ K'!$B$2800:$H$2823</definedName>
    <definedName name="comp080102">'[4]assemblies F _ K'!$B$1972:$H$1987</definedName>
    <definedName name="comp080201">'[1]assemblies A _ E'!$B$10:$H$14</definedName>
    <definedName name="comp080202">'[1]assemblies A _ E'!$B$16:$H$20</definedName>
    <definedName name="comp080203">'[1]assemblies A _ E'!$B$22:$H$26</definedName>
    <definedName name="comp080204">'[1]assemblies A _ E'!$B$28:$H$32</definedName>
    <definedName name="comp080205">'[1]assemblies A _ E'!$B$34:$H$38</definedName>
    <definedName name="comp080206">'[1]assemblies A _ E'!$B$40:$H$44</definedName>
    <definedName name="comp080207">'[1]assemblies A _ E'!$B$2075:$H$2084</definedName>
    <definedName name="comp080208">'[1]assemblies A _ E'!$B$2086:$H$2095</definedName>
    <definedName name="comp080209">'[1]assemblies A _ E'!$B$2097:$H$2106</definedName>
    <definedName name="comp080341">'[4]assemblies F _ K'!$B$1294:$H$1303</definedName>
    <definedName name="comp080342">'[4]assemblies F _ K'!$B$1305:$H$1314</definedName>
    <definedName name="comp080343">'[4]assemblies F _ K'!$B$1316:$H$1325</definedName>
    <definedName name="comp080344">'[4]assemblies F _ K'!$B$1327:$H$1336</definedName>
    <definedName name="comp080345">'[4]assemblies F _ K'!$B$1338:$H$1347</definedName>
    <definedName name="comp080346">'[4]assemblies F _ K'!$B$1349:$H$1358</definedName>
    <definedName name="comp080347">'[4]assemblies F _ K'!$B$1360:$H$1369</definedName>
    <definedName name="comp080348">'[4]assemblies F _ K'!$B$1371:$H$1380</definedName>
    <definedName name="comp080351">'[4]assemblies F _ K'!$B$1382:$H$1392</definedName>
    <definedName name="comp080352">'[4]assemblies F _ K'!$B$1394:$H$1404</definedName>
    <definedName name="comp080353">'[4]assemblies F _ K'!$B$1406:$H$1416</definedName>
    <definedName name="comp080354">'[4]assemblies F _ K'!$B$1418:$H$1428</definedName>
    <definedName name="comp080355">'[4]assemblies F _ K'!$B$1430:$H$1440</definedName>
    <definedName name="comp080356">'[4]assemblies F _ K'!$B$1442:$H$1452</definedName>
    <definedName name="comp080357">'[4]assemblies F _ K'!$B$1454:$H$1464</definedName>
    <definedName name="comp080358">'[4]assemblies F _ K'!$B$1466:$H$1476</definedName>
    <definedName name="comp080361">'[4]assemblies F _ K'!$B$518:$H$528</definedName>
    <definedName name="comp080362">'[4]assemblies F _ K'!$B$530:$H$540</definedName>
    <definedName name="comp080363">'[4]assemblies F _ K'!$B$542:$H$552</definedName>
    <definedName name="comp080364">'[4]assemblies F _ K'!$B$554:$H$564</definedName>
    <definedName name="comp080365">'[4]assemblies F _ K'!$B$566:$H$576</definedName>
    <definedName name="comp080366">'[4]assemblies F _ K'!$B$578:$H$588</definedName>
    <definedName name="comp080367">'[4]assemblies F _ K'!$B$590:$H$600</definedName>
    <definedName name="comp080368">'[4]assemblies F _ K'!$B$602:$H$612</definedName>
    <definedName name="comp080371">'[4]assemblies F _ K'!$B$2453:$H$2463</definedName>
    <definedName name="comp080381">'[4]assemblies F _ K'!$B$674:$H$684</definedName>
    <definedName name="comp080382">'[4]assemblies F _ K'!$B$686:$H$696</definedName>
    <definedName name="comp080383">'[4]assemblies F _ K'!$B$698:$H$708</definedName>
    <definedName name="comp080384">'[4]assemblies F _ K'!$B$710:$H$720</definedName>
    <definedName name="comp080385">'[4]assemblies F _ K'!$B$722:$H$732</definedName>
    <definedName name="comp080386">'[4]assemblies F _ K'!$B$734:$H$744</definedName>
    <definedName name="comp080387">'[4]assemblies F _ K'!$B$746:$H$756</definedName>
    <definedName name="comp080388">'[4]assemblies F _ K'!$B$758:$H$768</definedName>
    <definedName name="comp080401">'[4]assemblies F _ K'!$B$1766:$H$1775</definedName>
    <definedName name="comp080411">'[4]assemblies F _ K'!$B$273:$H$283</definedName>
    <definedName name="comp080412">'[4]assemblies F _ K'!$B$285:$H$295</definedName>
    <definedName name="comp080413">'[4]assemblies F _ K'!$B$297:$H$307</definedName>
    <definedName name="comp080414">'[4]assemblies F _ K'!$B$309:$H$319</definedName>
    <definedName name="comp080415">'[4]assemblies F _ K'!$B$321:$H$331</definedName>
    <definedName name="comp080416">'[4]assemblies F _ K'!$B$333:$H$343</definedName>
    <definedName name="comp080417">'[4]assemblies F _ K'!$B$345:$H$355</definedName>
    <definedName name="comp080418">'[4]assemblies F _ K'!$B$357:$H$367</definedName>
    <definedName name="comp080420">'[3]assemblies R _ Z'!$B$314:$H$323</definedName>
    <definedName name="comp080431">'[3]assemblies R _ Z'!$B$171:$H$180</definedName>
    <definedName name="comp080432">'[3]assemblies R _ Z'!$B$182:$H$191</definedName>
    <definedName name="comp080433">'[3]assemblies R _ Z'!$B$193:$H$202</definedName>
    <definedName name="comp080434">'[3]assemblies R _ Z'!$B$204:$H$213</definedName>
    <definedName name="comp080435">'[3]assemblies R _ Z'!$B$215:$H$224</definedName>
    <definedName name="comp080436">'[3]assemblies R _ Z'!$B$226:$H$235</definedName>
    <definedName name="comp080437">'[3]assemblies R _ Z'!$B$237:$H$246</definedName>
    <definedName name="comp080441">'[3]assemblies R _ Z'!$B$1213:$H$1222</definedName>
    <definedName name="comp080442">'[3]assemblies R _ Z'!$B$1224:$H$1233</definedName>
    <definedName name="comp080443">'[3]assemblies R _ Z'!$B$1235:$H$1244</definedName>
    <definedName name="comp080444">'[3]assemblies R _ Z'!$B$1246:$H$1255</definedName>
    <definedName name="comp080445">'[3]assemblies R _ Z'!$B$1257:$H$1266</definedName>
    <definedName name="comp080446">'[3]assemblies R _ Z'!$B$1268:$H$1277</definedName>
    <definedName name="comp080447">'[3]assemblies R _ Z'!$B$1279:$H$1288</definedName>
    <definedName name="comp080451">'[3]assemblies R _ Z'!$B$1290:$H$1299</definedName>
    <definedName name="comp080452">'[3]assemblies R _ Z'!$B$1301:$H$1310</definedName>
    <definedName name="comp080453">'[3]assemblies R _ Z'!$B$1312:$H$1321</definedName>
    <definedName name="comp080454">'[3]assemblies R _ Z'!$B$1323:$H$1332</definedName>
    <definedName name="comp080455">'[3]assemblies R _ Z'!$B$1334:$H$1343</definedName>
    <definedName name="comp080456">'[3]assemblies R _ Z'!$B$1345:$H$1354</definedName>
    <definedName name="comp080457">'[3]assemblies R _ Z'!$B$1356:$H$1365</definedName>
    <definedName name="comp080461">'[3]assemblies R _ Z'!$B$1367:$H$1380</definedName>
    <definedName name="comp080501">'[4]assemblies F _ K'!$B$1989:$H$1997</definedName>
    <definedName name="comp080601">'[4]assemblies F _ K'!$B$1538:$H$1547</definedName>
    <definedName name="comp080602">'[4]assemblies F _ K'!$B$1549:$H$1558</definedName>
    <definedName name="comp080603">'[4]assemblies F _ K'!$B$1560:$H$1569</definedName>
    <definedName name="comp080604">'[4]assemblies F _ K'!$B$1571:$H$1580</definedName>
    <definedName name="comp080605">'[4]assemblies F _ K'!$B$1582:$H$1591</definedName>
    <definedName name="comp080606">'[4]assemblies F _ K'!$B$1593:$H$1602</definedName>
    <definedName name="comp080607">'[4]assemblies F _ K'!$B$1604:$H$1613</definedName>
    <definedName name="comp080608">'[4]assemblies F _ K'!$B$1615:$H$1624</definedName>
    <definedName name="comp081111">'[1]assemblies A _ E'!$B$1244:$H$1252</definedName>
    <definedName name="comp082001">'[4]assemblies F _ K'!$B$2825:$H$2844</definedName>
    <definedName name="comp082351">'[4]assemblies F _ K'!$B$1490:$H$1500</definedName>
    <definedName name="comp082352">'[4]assemblies F _ K'!$B$1502:$H$1512</definedName>
    <definedName name="comp082353">'[4]assemblies F _ K'!$B$1514:$H$1524</definedName>
    <definedName name="comp082354">'[4]assemblies F _ K'!$B$1526:$H$1536</definedName>
    <definedName name="comp082371">'[4]assemblies F _ K'!$B$470:$H$480</definedName>
    <definedName name="comp082372">'[4]assemblies F _ K'!$B$482:$H$492</definedName>
    <definedName name="comp082373">'[4]assemblies F _ K'!$B$494:$H$504</definedName>
    <definedName name="comp082374">'[4]assemblies F _ K'!$B$506:$H$516</definedName>
    <definedName name="comp082381">'[4]assemblies F _ K'!$B$614:$H$624</definedName>
    <definedName name="comp082382">'[4]assemblies F _ K'!$B$638:$H$648</definedName>
    <definedName name="comp082383">'[4]assemblies F _ K'!$B$650:$H$660</definedName>
    <definedName name="comp082384">'[4]assemblies F _ K'!$B$662:$H$672</definedName>
    <definedName name="comp082391">'[4]assemblies F _ K'!$B$626:$H$636</definedName>
    <definedName name="comp082401">'[1]assemblies A _ E'!$B$1112:$H$1120</definedName>
    <definedName name="comp082410">'[3]assemblies R _ Z'!$B$911:$H$922</definedName>
    <definedName name="comp083101">'[1]assemblies A _ E'!$B$796:$H$809</definedName>
    <definedName name="comp083102">'[1]assemblies A _ E'!$B$781:$H$794</definedName>
    <definedName name="comp083111">'[2]assemblies L _ Q'!$B$539:$H$548</definedName>
    <definedName name="comp083112">'[2]assemblies L _ Q'!$B$550:$H$559</definedName>
    <definedName name="comp083201">'[1]assemblies A _ E'!$B$1089:$H$1098</definedName>
    <definedName name="comp083202">'[3]assemblies R _ Z'!$B$1188:$H$1201</definedName>
    <definedName name="comp083301">'[2]assemblies L _ Q'!$B$412:$H$424</definedName>
    <definedName name="comp083302">'[2]assemblies L _ Q'!$B$398:$H$410</definedName>
    <definedName name="comp083310">'[2]assemblies L _ Q'!$B$934:$H$943</definedName>
    <definedName name="comp083311">'[2]assemblies L _ Q'!$B$945:$H$954</definedName>
    <definedName name="comp083320">'[1]assemblies A _ E'!$B$1701:$H$1708</definedName>
    <definedName name="comp083321">'[1]assemblies A _ E'!$B$1710:$H$1717</definedName>
    <definedName name="comp083322">'[1]assemblies A _ E'!$B$1719:$H$1728</definedName>
    <definedName name="comp083323">'[1]assemblies A _ E'!$B$1730:$H$1739</definedName>
    <definedName name="comp083330">'[1]assemblies A _ E'!$B$834:$H$844</definedName>
    <definedName name="comp083331">'[1]assemblies A _ E'!$B$846:$H$856</definedName>
    <definedName name="comp083341">'[3]assemblies R _ Z'!$B$929:$H$938</definedName>
    <definedName name="comp083401">'[1]assemblies A _ E'!$B$1553:$H$1562</definedName>
    <definedName name="comp083402">'[1]assemblies A _ E'!$B$1542:$H$1551</definedName>
    <definedName name="comp083403">'[1]assemblies A _ E'!$B$1564:$H$1573</definedName>
    <definedName name="comp083410">'[3]assemblies R _ Z'!$B$278:$H$288</definedName>
    <definedName name="comp083411">'[3]assemblies R _ Z'!$B$325:$H$335</definedName>
    <definedName name="comp083412">'[3]assemblies R _ Z'!$B$290:$H$300</definedName>
    <definedName name="comp083413">'[3]assemblies R _ Z'!$B$302:$H$312</definedName>
    <definedName name="comp083420">'[3]assemblies R _ Z'!$B$995:$H$1004</definedName>
    <definedName name="comp083421">'[3]assemblies R _ Z'!$B$1006:$H$1015</definedName>
    <definedName name="comp083422">'[3]assemblies R _ Z'!$B$1017:$H$1026</definedName>
    <definedName name="comp083423">'[3]assemblies R _ Z'!$B$984:$H$993</definedName>
    <definedName name="comp083424">'[3]assemblies R _ Z'!$B$1028:$H$1037</definedName>
    <definedName name="comp083425">'[3]assemblies R _ Z'!$B$1039:$H$1048</definedName>
    <definedName name="comp083431">'[1]assemblies A _ E'!$B$1985:$H$1994</definedName>
    <definedName name="comp083501">'[1]assemblies A _ E'!$B$1204:$H$1214</definedName>
    <definedName name="comp083502">'[1]assemblies A _ E'!$B$1100:$H$1110</definedName>
    <definedName name="comp083503">'[3]assemblies R _ Z'!$B$30:$H$40</definedName>
    <definedName name="comp083504">'[3]assemblies R _ Z'!$B$839:$H$847</definedName>
    <definedName name="comp083601">'[2]assemblies L _ Q'!$B$1728:$H$1738</definedName>
    <definedName name="comp083602">'[2]assemblies L _ Q'!$B$1707:$H$1717</definedName>
    <definedName name="comp083603">'[2]assemblies L _ Q'!$B$1719:$H$1726</definedName>
    <definedName name="comp083604">'[2]assemblies L _ Q'!$B$1767:$H$1774</definedName>
    <definedName name="comp083605">'[2]assemblies L _ Q'!$B$1740:$H$1747</definedName>
    <definedName name="comp083606">'[2]assemblies L _ Q'!$B$1758:$H$1765</definedName>
    <definedName name="comp083607">'[3]assemblies R _ Z'!$B$787:$H$797</definedName>
    <definedName name="comp083608">'[2]assemblies L _ Q'!$B$1749:$H$1756</definedName>
    <definedName name="comp083609">'[3]assemblies R _ Z'!$B$799:$H$806</definedName>
    <definedName name="comp083610">'[1]assemblies A _ E'!$B$995:$H$1005</definedName>
    <definedName name="comp083611">'[1]assemblies A _ E'!$B$1007:$H$1014</definedName>
    <definedName name="comp083612">'[1]assemblies A _ E'!$B$493:$H$503</definedName>
    <definedName name="comp083701">'[1]assemblies A _ E'!$B$957:$H$967</definedName>
    <definedName name="comp084101">'[1]assemblies A _ E'!$B$1016:$H$1019</definedName>
    <definedName name="comp084102">'[1]assemblies A _ E'!$B$1021:$H$1024</definedName>
    <definedName name="comp084103">'[1]assemblies A _ E'!$B$1026:$H$1029</definedName>
    <definedName name="comp084104">'[1]assemblies A _ E'!$B$1031:$H$1034</definedName>
    <definedName name="comp084105">'[1]assemblies A _ E'!$B$1036:$H$1039</definedName>
    <definedName name="comp084201">'[1]assemblies A _ E'!$B$1041:$H$1051</definedName>
    <definedName name="comp084202">'[1]assemblies A _ E'!$B$1053:$H$1063</definedName>
    <definedName name="comp084203">'[1]assemblies A _ E'!$B$1065:$H$1075</definedName>
    <definedName name="comp084204">'[1]assemblies A _ E'!$B$1077:$H$1087</definedName>
    <definedName name="comp085103">'[4]assemblies F _ K'!$B$1035:$H$1045</definedName>
    <definedName name="comp085104">'[4]assemblies F _ K'!$B$1047:$H$1057</definedName>
    <definedName name="comp085105">'[4]assemblies F _ K'!$B$1059:$H$1073</definedName>
    <definedName name="comp085106">'[4]assemblies F _ K'!$B$1075:$H$1089</definedName>
    <definedName name="comp085203">'[4]assemblies F _ K'!$B$939:$H$953</definedName>
    <definedName name="comp085204">'[4]assemblies F _ K'!$B$955:$H$969</definedName>
    <definedName name="comp085205">'[4]assemblies F _ K'!$B$971:$H$985</definedName>
    <definedName name="comp085206">'[4]assemblies F _ K'!$B$987:$H$1001</definedName>
    <definedName name="comp085208">'[4]assemblies F _ K'!$B$1003:$H$1017</definedName>
    <definedName name="comp085210">'[4]assemblies F _ K'!$B$1019:$H$1033</definedName>
    <definedName name="comp085221">'[4]assemblies F _ K'!$B$1091:$H$1101</definedName>
    <definedName name="comp085301">'[4]assemblies F _ K'!$B$1478:$H$1488</definedName>
    <definedName name="comp086101">'[4]assemblies F _ K'!$B$1224:$H$1236</definedName>
    <definedName name="comp086102">'[4]assemblies F _ K'!$B$1238:$H$1250</definedName>
    <definedName name="comp086103">'[4]assemblies F _ K'!$B$1252:$H$1264</definedName>
    <definedName name="comp086104">'[4]assemblies F _ K'!$B$1266:$H$1278</definedName>
    <definedName name="comp086105">'[4]assemblies F _ K'!$B$1280:$H$1292</definedName>
    <definedName name="comp086502">'[3]assemblies R _ Z'!$B$248:$H$256</definedName>
    <definedName name="comp086504">'[3]assemblies R _ Z'!$B$258:$H$266</definedName>
    <definedName name="comp086505">'[3]assemblies R _ Z'!$B$268:$H$276</definedName>
    <definedName name="comp086511">'[3]assemblies R _ Z'!$B$337:$H$345</definedName>
    <definedName name="comp086521">'[3]assemblies R _ Z'!$B$1382:$H$1390</definedName>
    <definedName name="comp086531">'[3]assemblies R _ Z'!$B$1203:$H$1211</definedName>
    <definedName name="comp086541">'[3]assemblies R _ Z'!$B$1173:$H$1186</definedName>
    <definedName name="comp086605">'[2]assemblies L _ Q'!$B$529:$H$537</definedName>
    <definedName name="comp086611">'[1]assemblies A _ E'!$B$551:$H$555</definedName>
    <definedName name="comp086621">'[4]assemblies F _ K'!$B$10:$H$25</definedName>
    <definedName name="comp086622">'[4]assemblies F _ K'!$B$922:$H$937</definedName>
    <definedName name="comp086701">'[3]assemblies R _ Z'!$B$924:$H$927</definedName>
    <definedName name="comp086711">'[4]assemblies F _ K'!$B$1694:$H$1697</definedName>
    <definedName name="comp087101">'[4]assemblies F _ K'!$B$1103:$H$1112</definedName>
    <definedName name="comp087102">'[4]assemblies F _ K'!$B$1114:$H$1123</definedName>
    <definedName name="comp087103">'[4]assemblies F _ K'!$B$1125:$H$1134</definedName>
    <definedName name="comp087104">'[4]assemblies F _ K'!$B$1136:$H$1145</definedName>
    <definedName name="comp087105">'[4]assemblies F _ K'!$B$1147:$H$1156</definedName>
    <definedName name="comp087106">'[4]assemblies F _ K'!$B$1158:$H$1167</definedName>
    <definedName name="comp087107">'[4]assemblies F _ K'!$B$1169:$H$1178</definedName>
    <definedName name="comp087108">'[4]assemblies F _ K'!$B$1180:$H$1189</definedName>
    <definedName name="comp087109">'[4]assemblies F _ K'!$B$1191:$H$1200</definedName>
    <definedName name="comp087112">'[4]assemblies F _ K'!$B$1202:$H$1211</definedName>
    <definedName name="comp087114">'[4]assemblies F _ K'!$B$1213:$H$1222</definedName>
    <definedName name="comp090001">'[4]assemblies F _ K'!$B$2763:$H$2778</definedName>
    <definedName name="comp090002">'[4]assemblies F _ K'!$B$2780:$H$2798</definedName>
    <definedName name="comp090101">'[3]assemblies R _ Z'!$B$906:$H$909</definedName>
    <definedName name="comp090201">'[4]assemblies F _ K'!$B$2261:$H$2281</definedName>
    <definedName name="comp090202">'[4]assemblies F _ K'!$B$2283:$H$2303</definedName>
    <definedName name="comp090211">'[4]assemblies F _ K'!$B$2691:$H$2699</definedName>
    <definedName name="comp090301">'[4]assemblies F _ K'!$B$2631:$H$2639</definedName>
    <definedName name="comp090302">'[4]assemblies F _ K'!$B$2641:$H$2649</definedName>
    <definedName name="comp090303">'[4]assemblies F _ K'!$B$2651:$H$2659</definedName>
    <definedName name="comp090304">'[4]assemblies F _ K'!$B$2661:$H$2669</definedName>
    <definedName name="comp090305">'[4]assemblies F _ K'!$B$2671:$H$2679</definedName>
    <definedName name="comp090306">'[4]assemblies F _ K'!$B$2681:$H$2689</definedName>
    <definedName name="comp090401">'[4]assemblies F _ K'!$B$792:$H$800</definedName>
    <definedName name="comp090402">'[4]assemblies F _ K'!$B$802:$H$810</definedName>
    <definedName name="comp090403">'[4]assemblies F _ K'!$B$812:$H$820</definedName>
    <definedName name="comp090404">'[4]assemblies F _ K'!$B$822:$H$830</definedName>
    <definedName name="comp090411">'[4]assemblies F _ K'!$B$832:$H$840</definedName>
    <definedName name="comp090412">'[4]assemblies F _ K'!$B$842:$H$850</definedName>
    <definedName name="comp090413">'[4]assemblies F _ K'!$B$852:$H$860</definedName>
    <definedName name="comp090414">'[4]assemblies F _ K'!$B$862:$H$870</definedName>
    <definedName name="comp090415">'[4]assemblies F _ K'!$B$872:$H$880</definedName>
    <definedName name="comp090416">'[4]assemblies F _ K'!$B$882:$H$890</definedName>
    <definedName name="comp090417">'[4]assemblies F _ K'!$B$892:$H$900</definedName>
    <definedName name="comp090418">'[4]assemblies F _ K'!$B$902:$H$910</definedName>
    <definedName name="comp090419">'[4]assemblies F _ K'!$B$912:$H$920</definedName>
    <definedName name="comp090421">'[4]assemblies F _ K'!$B$380:$H$388</definedName>
    <definedName name="comp090422">'[4]assemblies F _ K'!$B$390:$H$398</definedName>
    <definedName name="comp090423">'[4]assemblies F _ K'!$B$400:$H$408</definedName>
    <definedName name="comp090424">'[4]assemblies F _ K'!$B$410:$H$418</definedName>
    <definedName name="comp090425">'[4]assemblies F _ K'!$B$420:$H$428</definedName>
    <definedName name="comp090426">'[4]assemblies F _ K'!$B$430:$H$438</definedName>
    <definedName name="comp090427">'[4]assemblies F _ K'!$B$440:$H$448</definedName>
    <definedName name="comp090428">'[4]assemblies F _ K'!$B$450:$H$458</definedName>
    <definedName name="comp090429">'[4]assemblies F _ K'!$B$460:$H$468</definedName>
    <definedName name="comp090451">'[4]assemblies F _ K'!$B$369:$H$378</definedName>
    <definedName name="comp090461">'[1]assemblies A _ E'!$B$557:$H$561</definedName>
    <definedName name="comp090462">'[1]assemblies A _ E'!$B$563:$H$567</definedName>
    <definedName name="comp090463">'[1]assemblies A _ E'!$B$569:$H$573</definedName>
    <definedName name="comp090464">'[1]assemblies A _ E'!$B$575:$H$579</definedName>
    <definedName name="comp090471">'[1]assemblies A _ E'!$B$581:$H$585</definedName>
    <definedName name="comp090472">'[1]assemblies A _ E'!$B$587:$H$591</definedName>
    <definedName name="comp090473">'[1]assemblies A _ E'!$B$593:$H$597</definedName>
    <definedName name="comp090474">'[1]assemblies A _ E'!$B$599:$H$603</definedName>
    <definedName name="comp090475">'[1]assemblies A _ E'!$B$605:$H$609</definedName>
    <definedName name="comp090476">'[1]assemblies A _ E'!$B$611:$H$615</definedName>
    <definedName name="comp090477">'[1]assemblies A _ E'!$B$617:$H$621</definedName>
    <definedName name="comp090478">'[1]assemblies A _ E'!$B$623:$H$627</definedName>
    <definedName name="comp090479">'[1]assemblies A _ E'!$B$629:$H$633</definedName>
    <definedName name="comp090501">'[4]assemblies F _ K'!$B$2305:$H$2314</definedName>
    <definedName name="comp090502">'[4]assemblies F _ K'!$B$2316:$H$2325</definedName>
    <definedName name="comp090503">'[4]assemblies F _ K'!$B$2327:$H$2336</definedName>
    <definedName name="comp090504">'[4]assemblies F _ K'!$B$2338:$H$2347</definedName>
    <definedName name="comp090505">'[4]assemblies F _ K'!$B$2349:$H$2358</definedName>
    <definedName name="comp090506">'[4]assemblies F _ K'!$B$2360:$H$2369</definedName>
    <definedName name="comp090507">'[4]assemblies F _ K'!$B$2371:$H$2380</definedName>
    <definedName name="comp090508">'[4]assemblies F _ K'!$B$2382:$H$2391</definedName>
    <definedName name="comp090511">'[4]assemblies F _ K'!$B$1790:$H$1799</definedName>
    <definedName name="comp090512">'[4]assemblies F _ K'!$B$1801:$H$1810</definedName>
    <definedName name="comp090513">'[4]assemblies F _ K'!$B$1812:$H$1821</definedName>
    <definedName name="comp090514">'[4]assemblies F _ K'!$B$1823:$H$1832</definedName>
    <definedName name="comp090515">'[4]assemblies F _ K'!$B$1834:$H$1843</definedName>
    <definedName name="comp090516">'[4]assemblies F _ K'!$B$1845:$H$1854</definedName>
    <definedName name="comp090517">'[4]assemblies F _ K'!$B$1856:$H$1865</definedName>
    <definedName name="comp090518">'[4]assemblies F _ K'!$B$1867:$H$1876</definedName>
    <definedName name="comp090519">'[4]assemblies F _ K'!$B$1878:$H$1887</definedName>
    <definedName name="comp090520">'[4]assemblies F _ K'!$B$1889:$H$1898</definedName>
    <definedName name="comp090521">'[4]assemblies F _ K'!$B$1900:$H$1909</definedName>
    <definedName name="comp090522">'[4]assemblies F _ K'!$B$1911:$H$1920</definedName>
    <definedName name="comp090601">'[4]assemblies F _ K'!$B$2011:$H$2019</definedName>
    <definedName name="comp090602">'[4]assemblies F _ K'!$B$2021:$H$2029</definedName>
    <definedName name="comp090603">'[4]assemblies F _ K'!$B$2031:$H$2039</definedName>
    <definedName name="comp090611">'[4]assemblies F _ K'!$B$2041:$H$2049</definedName>
    <definedName name="comp090612">'[4]assemblies F _ K'!$B$2051:$H$2059</definedName>
    <definedName name="comp090613">'[4]assemblies F _ K'!$B$2061:$H$2069</definedName>
    <definedName name="comp090614">'[4]assemblies F _ K'!$B$2071:$H$2079</definedName>
    <definedName name="comp090615">'[4]assemblies F _ K'!$B$2081:$H$2089</definedName>
    <definedName name="comp090616">'[4]assemblies F _ K'!$B$2091:$H$2099</definedName>
    <definedName name="comp090617">'[4]assemblies F _ K'!$B$2101:$H$2109</definedName>
    <definedName name="comp090618">'[4]assemblies F _ K'!$B$2111:$H$2119</definedName>
    <definedName name="comp090619">'[4]assemblies F _ K'!$B$2121:$H$2129</definedName>
    <definedName name="comp090620">'[4]assemblies F _ K'!$B$2131:$H$2139</definedName>
    <definedName name="comp090621">'[4]assemblies F _ K'!$B$2141:$H$2149</definedName>
    <definedName name="comp090631">'[4]assemblies F _ K'!$B$2151:$H$2159</definedName>
    <definedName name="comp090632">'[4]assemblies F _ K'!$B$2161:$H$2169</definedName>
    <definedName name="comp090633">'[4]assemblies F _ K'!$B$2171:$H$2179</definedName>
    <definedName name="comp090634">'[4]assemblies F _ K'!$B$2181:$H$2189</definedName>
    <definedName name="comp090635">'[4]assemblies F _ K'!$B$2191:$H$2199</definedName>
    <definedName name="comp090636">'[4]assemblies F _ K'!$B$2201:$H$2209</definedName>
    <definedName name="comp090637">'[4]assemblies F _ K'!$B$2211:$H$2219</definedName>
    <definedName name="comp090638">'[4]assemblies F _ K'!$B$2221:$H$2229</definedName>
    <definedName name="comp090639">'[4]assemblies F _ K'!$B$2231:$H$2239</definedName>
    <definedName name="comp090640">'[4]assemblies F _ K'!$B$2241:$H$2249</definedName>
    <definedName name="comp090641">'[4]assemblies F _ K'!$B$2251:$H$2259</definedName>
    <definedName name="comp091001">'[4]assemblies F _ K'!$B$1922:$H$1930</definedName>
    <definedName name="comp091002">'[4]assemblies F _ K'!$B$1932:$H$1940</definedName>
    <definedName name="comp091003">'[4]assemblies F _ K'!$B$1942:$H$1950</definedName>
    <definedName name="comp091004">'[4]assemblies F _ K'!$B$1952:$H$1960</definedName>
    <definedName name="comp091101">'[4]assemblies F _ K'!$B$2621:$H$2629</definedName>
    <definedName name="comp091102">'[4]assemblies F _ K'!$B$2403:$H$2411</definedName>
    <definedName name="comp091103">'[4]assemblies F _ K'!$B$2413:$H$2421</definedName>
    <definedName name="comp091104">'[4]assemblies F _ K'!$B$2423:$H$2431</definedName>
    <definedName name="comp091105">'[4]assemblies F _ K'!$B$2433:$H$2441</definedName>
    <definedName name="comp091106">'[4]assemblies F _ K'!$B$2443:$H$2451</definedName>
    <definedName name="comp091201">'[4]assemblies F _ K'!$B$2712:$H$2720</definedName>
    <definedName name="comp091202">'[4]assemblies F _ K'!$B$2722:$H$2730</definedName>
    <definedName name="comp091203">'[4]assemblies F _ K'!$B$2732:$H$2740</definedName>
    <definedName name="comp091204">'[4]assemblies F _ K'!$B$2742:$H$2750</definedName>
    <definedName name="comp091301">'[4]assemblies F _ K'!$B$2569:$H$2577</definedName>
    <definedName name="comp091302">'[4]assemblies F _ K'!$B$2579:$H$2587</definedName>
    <definedName name="comp091401">'[4]assemblies F _ K'!$B$2465:$H$2473</definedName>
    <definedName name="comp091402">'[4]assemblies F _ K'!$B$2475:$H$2483</definedName>
    <definedName name="comp091403">'[4]assemblies F _ K'!$B$2485:$H$2493</definedName>
    <definedName name="comp091404">'[4]assemblies F _ K'!$B$2495:$H$2503</definedName>
    <definedName name="comp091405">'[4]assemblies F _ K'!$B$2516:$H$2525</definedName>
    <definedName name="comp091406">'[4]assemblies F _ K'!$B$2527:$H$2536</definedName>
    <definedName name="comp091407">'[4]assemblies F _ K'!$B$2505:$H$2514</definedName>
    <definedName name="comp091501">'[4]assemblies F _ K'!$B$2701:$H$2710</definedName>
    <definedName name="comp091510">'[4]assemblies F _ K'!$B$2589:$H$2603</definedName>
    <definedName name="comp091511">'[4]assemblies F _ K'!$B$2605:$H$2619</definedName>
    <definedName name="comp091601">'[4]assemblies F _ K'!$B$1962:$H$1970</definedName>
    <definedName name="comp091701">'[1]assemblies A _ E'!$B$1139:$H$1142</definedName>
    <definedName name="comp092101">'[4]assemblies F _ K'!$B$1777:$H$1788</definedName>
    <definedName name="comp092102">'[4]assemblies F _ K'!$B$2393:$H$2401</definedName>
    <definedName name="comp093101">'[4]assemblies F _ K'!$B$2549:$H$2557</definedName>
    <definedName name="comp093102">'[4]assemblies F _ K'!$B$2559:$H$2567</definedName>
    <definedName name="comp093110">'[4]assemblies F _ K'!$B$2538:$H$2547</definedName>
    <definedName name="comp093115">'[4]assemblies F _ K'!$B$1999:$H$2009</definedName>
    <definedName name="comp093119">'[4]assemblies F _ K'!$B$2752:$H$2761</definedName>
    <definedName name="comp094101">'[1]assemblies A _ E'!$B$1144:$H$1154</definedName>
    <definedName name="comp094102">'[1]assemblies A _ E'!$B$1156:$H$1166</definedName>
    <definedName name="comp094103">'[1]assemblies A _ E'!$B$1180:$H$1190</definedName>
    <definedName name="comp094104">'[1]assemblies A _ E'!$B$1168:$H$1178</definedName>
    <definedName name="comp094105">'[1]assemblies A _ E'!$B$1192:$H$1202</definedName>
    <definedName name="comp094201">'[1]assemblies A _ E'!$B$1122:$H$1137</definedName>
    <definedName name="comp100101">'[4]assemblies F _ K'!$B$1626:$H$1629</definedName>
    <definedName name="comp100201">'[4]assemblies F _ K'!$B$1631:$H$1634</definedName>
    <definedName name="comp100210">'[3]assemblies R _ Z'!$B$808:$H$811</definedName>
    <definedName name="comp100301">'[4]assemblies F _ K'!$B$1636:$H$1639</definedName>
    <definedName name="comp110101">'[4]assemblies F _ K'!$B$1728:$H$1736</definedName>
    <definedName name="comp110201">'[4]assemblies F _ K'!$B$1738:$H$1745</definedName>
    <definedName name="comp120101">'[1]assemblies A _ E'!$B$1526:$H$1540</definedName>
    <definedName name="comp120102">'[1]assemblies A _ E'!$B$1510:$H$1524</definedName>
    <definedName name="comp120201">'[1]assemblies A _ E'!$B$2053:$H$2068</definedName>
    <definedName name="comp120301">'[3]assemblies R _ Z'!$B$102:$H$117</definedName>
    <definedName name="comp120302">'[3]assemblies R _ Z'!$B$119:$H$134</definedName>
    <definedName name="comp120303">'[3]assemblies R _ Z'!$B$136:$H$151</definedName>
    <definedName name="comp120401">'[3]assemblies R _ Z'!$B$527:$H$541</definedName>
    <definedName name="comp120402">'[3]assemblies R _ Z'!$B$561:$H$577</definedName>
    <definedName name="comp120403">'[3]assemblies R _ Z'!$B$543:$H$559</definedName>
    <definedName name="comp120404">'[3]assemblies R _ Z'!$B$579:$H$595</definedName>
    <definedName name="comp120501">'[1]assemblies A _ E'!$B$739:$H$751</definedName>
    <definedName name="comp120502">'[1]assemblies A _ E'!$B$753:$H$765</definedName>
    <definedName name="comp120503">'[1]assemblies A _ E'!$B$767:$H$779</definedName>
    <definedName name="comp120511">'[3]assemblies R _ Z'!$B$485:$H$497</definedName>
    <definedName name="comp120512">'[3]assemblies R _ Z'!$B$499:$H$511</definedName>
    <definedName name="comp120513">'[3]assemblies R _ Z'!$B$513:$H$525</definedName>
    <definedName name="comp120521">'[3]assemblies R _ Z'!$B$597:$H$608</definedName>
    <definedName name="comp120531">'[3]assemblies R _ Z'!$B$610:$H$620</definedName>
    <definedName name="comp120541">'[2]assemblies L _ Q'!$B$1299:$H$1316</definedName>
    <definedName name="comp120542">'[2]assemblies L _ Q'!$B$1318:$H$1333</definedName>
    <definedName name="comp120601">'[1]assemblies A _ E'!$B$1464:$H$1467</definedName>
    <definedName name="comp121101">'[4]assemblies F _ K'!$B$770:$H$779</definedName>
    <definedName name="comp121102">'[4]assemblies F _ K'!$B$781:$H$790</definedName>
    <definedName name="comp130001">'[2]assemblies L _ Q'!$B$88:$H$100</definedName>
    <definedName name="comp130002">'[2]assemblies L _ Q'!$B$102:$H$118</definedName>
    <definedName name="comp130003">'[2]assemblies L _ Q'!$B$120:$H$131</definedName>
    <definedName name="comp130004">'[2]assemblies L _ Q'!$B$133:$H$148</definedName>
    <definedName name="comp130005">'[2]assemblies L _ Q'!$B$150:$H$162</definedName>
    <definedName name="comp130006">'[2]assemblies L _ Q'!$B$164:$H$180</definedName>
    <definedName name="comp130007">'[2]assemblies L _ Q'!$B$182:$H$194</definedName>
    <definedName name="comp130008">'[2]assemblies L _ Q'!$B$196:$H$212</definedName>
    <definedName name="comp130009">'[2]assemblies L _ Q'!$B$214:$H$226</definedName>
    <definedName name="comp130010">'[2]assemblies L _ Q'!$B$228:$H$244</definedName>
    <definedName name="comp130011">'[2]assemblies L _ Q'!$B$246:$H$258</definedName>
    <definedName name="comp130012">'[2]assemblies L _ Q'!$B$260:$H$276</definedName>
    <definedName name="comp130013">'[2]assemblies L _ Q'!$B$278:$H$289</definedName>
    <definedName name="comp130014">'[2]assemblies L _ Q'!$B$291:$H$306</definedName>
    <definedName name="comp130015">'[2]assemblies L _ Q'!$B$308:$H$319</definedName>
    <definedName name="comp130016">'[2]assemblies L _ Q'!$B$321:$H$336</definedName>
    <definedName name="comp130017">'[2]assemblies L _ Q'!$B$338:$H$349</definedName>
    <definedName name="comp130018">'[2]assemblies L _ Q'!$B$351:$H$366</definedName>
    <definedName name="comp130019">'[2]assemblies L _ Q'!$B$368:$H$379</definedName>
    <definedName name="comp130020">'[2]assemblies L _ Q'!$B$381:$H$396</definedName>
    <definedName name="comp130101">'[3]assemblies R _ Z'!$B$383:$H$393</definedName>
    <definedName name="comp130102">'[3]assemblies R _ Z'!$B$371:$H$381</definedName>
    <definedName name="comp130103">'[3]assemblies R _ Z'!$B$347:$H$357</definedName>
    <definedName name="comp130104">'[3]assemblies R _ Z'!$B$359:$H$369</definedName>
    <definedName name="comp130201">'[2]assemblies L _ Q'!$B$1182:$H$1196</definedName>
    <definedName name="comp130202">'[2]assemblies L _ Q'!$B$1198:$H$1213</definedName>
    <definedName name="comp130211">'[2]assemblies L _ Q'!$B$1294:$H$1297</definedName>
    <definedName name="comp130221">'[2]assemblies L _ Q'!$B$1169:$H$1180</definedName>
    <definedName name="comp130231">'[2]assemblies L _ Q'!$B$1215:$H$1230</definedName>
    <definedName name="comp130241">'[2]assemblies L _ Q'!$B$1232:$H$1235</definedName>
    <definedName name="comp130251">'[2]assemblies L _ Q'!$B$1255:$H$1270</definedName>
    <definedName name="comp130252">'[2]assemblies L _ Q'!$B$1272:$H$1287</definedName>
    <definedName name="comp130261">'[2]assemblies L _ Q'!$B$1237:$H$1253</definedName>
    <definedName name="comp130271">'[2]assemblies L _ Q'!$B$1289:$H$1292</definedName>
    <definedName name="comp130311">'[3]assemblies R _ Z'!$B$709:$H$712</definedName>
    <definedName name="comp130321">'[3]assemblies R _ Z'!$B$672:$H$683</definedName>
    <definedName name="comp130351">'[3]assemblies R _ Z'!$B$685:$H$695</definedName>
    <definedName name="comp130352">'[3]assemblies R _ Z'!$B$697:$H$707</definedName>
    <definedName name="comp130361">'[3]assemblies R _ Z'!$B$714:$H$725</definedName>
    <definedName name="comp130402">'[3]assemblies R _ Z'!$B$863:$H$873</definedName>
    <definedName name="comp130451">'[3]assemblies R _ Z'!$B$875:$H$890</definedName>
    <definedName name="comp130501">'[1]assemblies A _ E'!$B$1216:$H$1237</definedName>
    <definedName name="comp130601">'[3]assemblies R _ Z'!$B$153:$H$157</definedName>
    <definedName name="comp130602">'[3]assemblies R _ Z'!$B$159:$H$163</definedName>
    <definedName name="comp130603">'[3]assemblies R _ Z'!$B$165:$H$169</definedName>
    <definedName name="comp140101">'[3]assemblies R _ Z'!$B$1420:$H$1423</definedName>
    <definedName name="comp140201">'[3]assemblies R _ Z'!$B$1430:$H$1433</definedName>
    <definedName name="comp140301">'[3]assemblies R _ Z'!$B$1425:$H$1428</definedName>
    <definedName name="comp140401">'[3]assemblies R _ Z'!$B$1435:$H$1438</definedName>
    <definedName name="comp140501">'[1]assemblies A _ E'!$B$2522:$H$2525</definedName>
    <definedName name="comp150201">'[1]assemblies A _ E'!$B$1996:$H$2005</definedName>
    <definedName name="comp150202">'[1]assemblies A _ E'!$B$2007:$H$2016</definedName>
    <definedName name="comp150203">'[1]assemblies A _ E'!$B$2018:$H$2027</definedName>
    <definedName name="comp150204">'[1]assemblies A _ E'!$B$2029:$H$2038</definedName>
    <definedName name="comp150301">'[2]assemblies L _ Q'!$B$956:$H$966</definedName>
    <definedName name="comp150302">'[2]assemblies L _ Q'!$B$968:$H$979</definedName>
    <definedName name="comp150303">'[2]assemblies L _ Q'!$B$981:$H$993</definedName>
    <definedName name="comp150304">'[2]assemblies L _ Q'!$B$995:$H$1007</definedName>
    <definedName name="comp150305">'[2]assemblies L _ Q'!$B$1009:$H$1019</definedName>
    <definedName name="comp150306">'[2]assemblies L _ Q'!$B$1021:$H$1030</definedName>
    <definedName name="comp150307">'[2]assemblies L _ Q'!$B$1032:$H$1042</definedName>
    <definedName name="comp150308">'[2]assemblies L _ Q'!$B$1044:$H$1053</definedName>
    <definedName name="comp150309">'[2]assemblies L _ Q'!$B$1055:$H$1067</definedName>
    <definedName name="comp150310">'[2]assemblies L _ Q'!$B$1069:$H$1077</definedName>
    <definedName name="comp150311">'[2]assemblies L _ Q'!$B$1107:$H$1117</definedName>
    <definedName name="comp150312">'[2]assemblies L _ Q'!$B$1119:$H$1128</definedName>
    <definedName name="comp150313">'[2]assemblies L _ Q'!$B$1130:$H$1142</definedName>
    <definedName name="comp150314">'[2]assemblies L _ Q'!$B$1144:$H$1154</definedName>
    <definedName name="comp150315">'[2]assemblies L _ Q'!$B$1156:$H$1167</definedName>
    <definedName name="comp150316">'[2]assemblies L _ Q'!$B$1079:$H$1091</definedName>
    <definedName name="comp150317">'[2]assemblies L _ Q'!$B$1093:$H$1105</definedName>
    <definedName name="comp160101">'[1]assemblies A _ E'!$B$2175:$H$2181</definedName>
    <definedName name="comp160102">'[1]assemblies A _ E'!$B$2259:$H$2262</definedName>
    <definedName name="comp160103">'[1]assemblies A _ E'!$B$2517:$H$2520</definedName>
    <definedName name="comp160104">'[1]assemblies A _ E'!$B$1590:$H$1593</definedName>
    <definedName name="comp160105">'[1]assemblies A _ E'!$B$1595:$H$1598</definedName>
    <definedName name="comp160110">'[1]assemblies A _ E'!$B$979:$H$982</definedName>
    <definedName name="comp160111">'[1]assemblies A _ E'!$B$984:$H$988</definedName>
    <definedName name="comp160121">'[2]assemblies L _ Q'!$B$1789:$H$1798</definedName>
    <definedName name="comp160122">'[3]assemblies R _ Z'!$B$416:$H$420</definedName>
    <definedName name="comp160123">'[3]assemblies R _ Z'!$B$395:$H$414</definedName>
    <definedName name="comp160131">'[2]assemblies L _ Q'!$B$79:$H$86</definedName>
    <definedName name="comp160132">'[2]assemblies L _ Q'!$B$70:$H$77</definedName>
    <definedName name="comp160141">'[3]assemblies R _ Z'!$B$813:$H$832</definedName>
    <definedName name="comp160142">'[2]assemblies L _ Q'!$B$500:$H$514</definedName>
    <definedName name="comp160151">'[3]assemblies R _ Z'!$B$433:$H$437</definedName>
    <definedName name="comp160201">'[2]assemblies L _ Q'!$B$811:$H$819</definedName>
    <definedName name="comp160211">'[1]assemblies A _ E'!$B$522:$H$537</definedName>
    <definedName name="comp160212">'[2]assemblies L _ Q'!$B$615:$H$631</definedName>
    <definedName name="comp160213">'[2]assemblies L _ Q'!$B$561:$H$577</definedName>
    <definedName name="comp160214">'[1]assemblies A _ E'!$B$505:$H$520</definedName>
    <definedName name="comp160215">'[2]assemblies L _ Q'!$B$579:$H$595</definedName>
    <definedName name="comp160216">'[2]assemblies L _ Q'!$B$597:$H$613</definedName>
    <definedName name="comp160221">'[1]assemblies A _ E'!$B$539:$H$549</definedName>
    <definedName name="comp160222">'[2]assemblies L _ Q'!$B$798:$H$809</definedName>
    <definedName name="comp160223">'[2]assemblies L _ Q'!$B$701:$H$710</definedName>
    <definedName name="comp160224">'[2]assemblies L _ Q'!$B$712:$H$721</definedName>
    <definedName name="comp160225">'[2]assemblies L _ Q'!$B$723:$H$732</definedName>
    <definedName name="comp160226">'[2]assemblies L _ Q'!$B$734:$H$748</definedName>
    <definedName name="comp160227">'[2]assemblies L _ Q'!$B$750:$H$764</definedName>
    <definedName name="comp160228">'[2]assemblies L _ Q'!$B$766:$H$780</definedName>
    <definedName name="comp160229">'[2]assemblies L _ Q'!$B$782:$H$796</definedName>
    <definedName name="comp160241">'[2]assemblies L _ Q'!$B$649:$H$659</definedName>
    <definedName name="comp160301">'[4]assemblies F _ K'!$B$1747:$H$1750</definedName>
    <definedName name="comp160302">'[4]assemblies F _ K'!$B$1752:$H$1755</definedName>
    <definedName name="comp160310">'[3]assemblies R _ Z'!$B$622:$H$625</definedName>
    <definedName name="comp160311">'[3]assemblies R _ Z'!$B$627:$H$630</definedName>
    <definedName name="comp160312">'[3]assemblies R _ Z'!$B$632:$H$635</definedName>
    <definedName name="comp160401">'[1]assemblies A _ E'!$B$913:$H$922</definedName>
    <definedName name="comp170101">'[2]assemblies L _ Q'!$B$2199:$H$2203</definedName>
    <definedName name="comp170102">'[4]assemblies F _ K'!$B$1719:$H$1726</definedName>
    <definedName name="comp170103">'[1]assemblies A _ E'!$B$113:$H$131</definedName>
    <definedName name="comp170104">'[1]assemblies A _ E'!$B$895:$H$911</definedName>
    <definedName name="comp170105">'[1]assemblies A _ E'!$B$1764:$H$1773</definedName>
    <definedName name="comp170106">'[1]assemblies A _ E'!$B$2165:$H$2168</definedName>
    <definedName name="comp170107">'[1]assemblies A _ E'!$B$2170:$H$2173</definedName>
    <definedName name="comp170108">'[1]assemblies A _ E'!$B$93:$H$111</definedName>
    <definedName name="comp170109">'[1]assemblies A _ E'!$B$73:$H$91</definedName>
    <definedName name="comp170110">'[1]assemblies A _ E'!$B$133:$H$151</definedName>
    <definedName name="comp170111">'[1]assemblies A _ E'!$B$2716:$H$2725</definedName>
    <definedName name="comp170121">'[4]assemblies F _ K'!$B$1671:$H$1674</definedName>
    <definedName name="comp170201">'[1]assemblies A _ E'!$B$1474:$H$1489</definedName>
    <definedName name="comp170202">'[1]assemblies A _ E'!$B$1491:$H$1503</definedName>
    <definedName name="comp170211">'[1]assemblies A _ E'!$B$1469:$H$1472</definedName>
    <definedName name="comp170231">'[1]assemblies A _ E'!$B$354:$H$357</definedName>
    <definedName name="comp170232">'[1]assemblies A _ E'!$B$68:$H$71</definedName>
    <definedName name="comp170301">'[1]assemblies A _ E'!$B$858:$H$874</definedName>
    <definedName name="comp170311">'[1]assemblies A _ E'!$B$876:$H$879</definedName>
    <definedName name="comp170401">'[1]assemblies A _ E'!$B$1505:$H$1508</definedName>
    <definedName name="comp170402">'[4]assemblies F _ K'!$B$1676:$H$1692</definedName>
    <definedName name="comp170411">'[1]assemblies A _ E'!$B$1600:$H$1603</definedName>
    <definedName name="comp170421">'[1]assemblies A _ E'!$B$990:$H$993</definedName>
    <definedName name="comp170501">'[2]assemblies L _ Q'!$B$2235:$H$2263</definedName>
    <definedName name="comp170601">'[3]assemblies R _ Z'!$B$428:$H$431</definedName>
    <definedName name="comp170602">'[3]assemblies R _ Z'!$B$450:$H$453</definedName>
    <definedName name="comp170702">'[1]assemblies A _ E'!$B$635:$H$645</definedName>
    <definedName name="comp170801">'[1]assemblies A _ E'!$B$2589:$H$2600</definedName>
    <definedName name="comp170811">'[4]assemblies F _ K'!$B$1699:$H$1702</definedName>
    <definedName name="comp170812">'[4]assemblies F _ K'!$B$1704:$H$1707</definedName>
    <definedName name="comp171101">'[2]assemblies L _ Q'!$B$495:$H$498</definedName>
    <definedName name="comp203201">'[1]assemblies A _ E'!$B$1254:$H$1261</definedName>
    <definedName name="comp203202">'[1]assemblies A _ E'!$B$1263:$H$1272</definedName>
    <definedName name="comp203203">'[1]assemblies A _ E'!$B$1274:$H$1281</definedName>
    <definedName name="comp203204">'[1]assemblies A _ E'!$B$1283:$H$1292</definedName>
    <definedName name="comp203205">'[1]assemblies A _ E'!$B$1294:$H$1301</definedName>
    <definedName name="comp203206">'[1]assemblies A _ E'!$B$1303:$H$1312</definedName>
    <definedName name="comp203207">'[1]assemblies A _ E'!$B$1314:$H$1321</definedName>
    <definedName name="comp203208">'[1]assemblies A _ E'!$B$1323:$H$1332</definedName>
    <definedName name="comp203209">'[1]assemblies A _ E'!$B$1334:$H$1341</definedName>
    <definedName name="comp203210">'[1]assemblies A _ E'!$B$1343:$H$1352</definedName>
    <definedName name="comp203211">'[1]assemblies A _ E'!$B$1354:$H$1361</definedName>
    <definedName name="comp203212">'[1]assemblies A _ E'!$B$1363:$H$1372</definedName>
    <definedName name="comp203213">'[1]assemblies A _ E'!$B$1374:$H$1381</definedName>
    <definedName name="comp203214">'[1]assemblies A _ E'!$B$1383:$H$1392</definedName>
    <definedName name="comp203301">'[1]assemblies A _ E'!$B$1404:$H$1411</definedName>
    <definedName name="comp203302">'[1]assemblies A _ E'!$B$1413:$H$1422</definedName>
    <definedName name="comp203303">'[1]assemblies A _ E'!$B$1424:$H$1431</definedName>
    <definedName name="comp203304">'[1]assemblies A _ E'!$B$1433:$H$1442</definedName>
    <definedName name="comp203305">'[1]assemblies A _ E'!$B$1444:$H$1451</definedName>
    <definedName name="comp203306">'[1]assemblies A _ E'!$B$1453:$H$1462</definedName>
    <definedName name="comp203501">'[1]assemblies A _ E'!$B$1645:$H$1652</definedName>
    <definedName name="comp203502">'[1]assemblies A _ E'!$B$1654:$H$1663</definedName>
    <definedName name="comp203601">'[1]assemblies A _ E'!$B$1605:$H$1612</definedName>
    <definedName name="comp203602">'[1]assemblies A _ E'!$B$1614:$H$1623</definedName>
    <definedName name="comp203603">'[1]assemblies A _ E'!$B$1625:$H$1632</definedName>
    <definedName name="comp203604">'[1]assemblies A _ E'!$B$1634:$H$1643</definedName>
    <definedName name="comp204101">'[1]assemblies A _ E'!$B$1960:$H$1967</definedName>
    <definedName name="comp204102">'[1]assemblies A _ E'!$B$1969:$H$1978</definedName>
    <definedName name="comp205101">'[1]assemblies A _ E'!$B$2439:$H$2446</definedName>
    <definedName name="comp205102">'[1]assemblies A _ E'!$B$2448:$H$2457</definedName>
    <definedName name="comp205103">'[1]assemblies A _ E'!$B$2459:$H$2466</definedName>
    <definedName name="comp205104">'[1]assemblies A _ E'!$B$2468:$H$2477</definedName>
    <definedName name="comp207201">'[4]assemblies F _ K'!$B$1641:$H$1647</definedName>
    <definedName name="comp207202">'[4]assemblies F _ K'!$B$1649:$H$1656</definedName>
    <definedName name="comp212201">'[2]assemblies L _ Q'!$B$670:$H$679</definedName>
    <definedName name="comp212301">'[2]assemblies L _ Q'!$B$681:$H$688</definedName>
    <definedName name="comp212302">'[2]assemblies L _ Q'!$B$690:$H$699</definedName>
    <definedName name="comp215101">'[2]assemblies L _ Q'!$B$881:$H$888</definedName>
    <definedName name="comp215102">'[2]assemblies L _ Q'!$B$890:$H$898</definedName>
    <definedName name="comp217201">'[3]assemblies R _ Z'!$B$465:$H$472</definedName>
    <definedName name="comp217202">'[3]assemblies R _ Z'!$B$474:$H$483</definedName>
    <definedName name="comp217301">'[3]assemblies R _ Z'!$B$747:$H$754</definedName>
    <definedName name="comp217302">'[3]assemblies R _ Z'!$B$756:$H$765</definedName>
    <definedName name="comp217303">'[3]assemblies R _ Z'!$B$767:$H$774</definedName>
    <definedName name="comp217304">'[3]assemblies R _ Z'!$B$776:$H$785</definedName>
    <definedName name="comp217305">'[3]assemblies R _ Z'!$B$727:$H$734</definedName>
    <definedName name="comp217306">'[3]assemblies R _ Z'!$B$736:$H$745</definedName>
    <definedName name="comp219201">'[3]assemblies R _ Z'!$B$1081:$H$1088</definedName>
    <definedName name="comp219202">'[3]assemblies R _ Z'!$B$1090:$H$1099</definedName>
    <definedName name="comp219203">'[3]assemblies R _ Z'!$B$1101:$H$1108</definedName>
    <definedName name="comp219204">'[3]assemblies R _ Z'!$B$1110:$H$1119</definedName>
    <definedName name="comp219205">'[3]assemblies R _ Z'!$B$1121:$H$1125</definedName>
    <definedName name="comp219206">'[3]assemblies R _ Z'!$B$1127:$H$1131</definedName>
    <definedName name="comp219207">'[3]assemblies R _ Z'!$B$1133:$H$1140</definedName>
    <definedName name="comp219208">'[3]assemblies R _ Z'!$B$1142:$H$1151</definedName>
    <definedName name="comp219209">'[3]assemblies R _ Z'!$B$1153:$H$1160</definedName>
    <definedName name="comp219210">'[3]assemblies R _ Z'!$B$1162:$H$1171</definedName>
    <definedName name="COTAS">#REF!</definedName>
    <definedName name="Excel_BuiltIn__FilterDatabase_1">#REF!</definedName>
    <definedName name="EXTENSAO">#REF!</definedName>
    <definedName name="K1_">#REF!</definedName>
    <definedName name="K2_">#REF!</definedName>
    <definedName name="K3_">#REF!</definedName>
    <definedName name="LOTES">#REF!</definedName>
    <definedName name="mãodeobra">#REF!</definedName>
    <definedName name="materiais">#REF!</definedName>
    <definedName name="PERCAPITA">#REF!</definedName>
    <definedName name="serviçosterceirizados">#REF!</definedName>
    <definedName name="SSS">#REF!</definedName>
    <definedName name="_xlnm.Print_Titles" localSheetId="2">Cronograma!$1:$9</definedName>
    <definedName name="_xlnm.Print_Titles" localSheetId="8">'Interceptor (materiais)'!$1:$6</definedName>
    <definedName name="_xlnm.Print_Titles" localSheetId="7">'Interceptor(mão-de-obra)'!$1:$6</definedName>
    <definedName name="_xlnm.Print_Titles" localSheetId="0">RESUMO!$1:$14</definedName>
    <definedName name="_xlnm.Print_Titles" localSheetId="6">'Resumo interceptor'!$1:$7</definedName>
    <definedName name="_xlnm.Print_Titles" localSheetId="1">SERVIÇOS!$1:$15</definedName>
    <definedName name="usodeequipamentos">#REF!</definedName>
  </definedNames>
  <calcPr calcId="152511"/>
  <fileRecoveryPr autoRecover="0"/>
</workbook>
</file>

<file path=xl/calcChain.xml><?xml version="1.0" encoding="utf-8"?>
<calcChain xmlns="http://schemas.openxmlformats.org/spreadsheetml/2006/main">
  <c r="H17" i="5" l="1"/>
  <c r="U30" i="5" l="1"/>
  <c r="H14" i="21" l="1"/>
  <c r="T20" i="5"/>
  <c r="T21" i="5"/>
  <c r="T19" i="5"/>
  <c r="K16" i="21"/>
  <c r="K17" i="21"/>
  <c r="K18" i="21"/>
  <c r="K19" i="21"/>
  <c r="K20" i="21"/>
  <c r="K21" i="21"/>
  <c r="K15" i="21"/>
  <c r="F20" i="21"/>
  <c r="G20" i="21" s="1"/>
  <c r="H20" i="5"/>
  <c r="I20" i="5" s="1"/>
  <c r="F19" i="21"/>
  <c r="G19" i="21" s="1"/>
  <c r="G16" i="21"/>
  <c r="G15" i="21"/>
  <c r="G17" i="21"/>
  <c r="G18" i="21"/>
  <c r="G21" i="21"/>
  <c r="H19" i="5"/>
  <c r="I19" i="5" s="1"/>
  <c r="H21" i="5"/>
  <c r="I21" i="5" s="1"/>
  <c r="F17" i="5" l="1"/>
  <c r="C17" i="5"/>
  <c r="H16" i="21"/>
  <c r="H17" i="21"/>
  <c r="H18" i="21"/>
  <c r="H19" i="21"/>
  <c r="H20" i="21"/>
  <c r="H21" i="21"/>
  <c r="H15" i="21"/>
  <c r="G17" i="5" l="1"/>
  <c r="I17" i="5" s="1"/>
  <c r="I16" i="5" s="1"/>
  <c r="Q21" i="5"/>
  <c r="A15" i="20"/>
  <c r="A16" i="20"/>
  <c r="A17" i="20"/>
  <c r="I18" i="5" l="1"/>
  <c r="B15" i="20" l="1"/>
  <c r="B16" i="20"/>
  <c r="B17" i="20"/>
  <c r="B14" i="20"/>
  <c r="A14" i="20"/>
  <c r="J30" i="19" l="1"/>
  <c r="I30" i="19"/>
  <c r="H30" i="19"/>
  <c r="J27" i="19"/>
  <c r="I27" i="19"/>
  <c r="H27" i="19"/>
  <c r="I47" i="19"/>
  <c r="I46" i="19"/>
  <c r="H46" i="19"/>
  <c r="J13" i="19"/>
  <c r="I13" i="19"/>
  <c r="J10" i="19"/>
  <c r="I10" i="19"/>
  <c r="G46" i="19"/>
  <c r="H10" i="19"/>
  <c r="H47" i="19"/>
  <c r="G47" i="19"/>
  <c r="H13" i="19"/>
  <c r="B2" i="5" l="1"/>
  <c r="B4" i="5"/>
  <c r="B9" i="5" l="1"/>
  <c r="B8" i="5"/>
  <c r="I22" i="5"/>
  <c r="D15" i="16" s="1"/>
  <c r="L8" i="10"/>
  <c r="L9" i="10"/>
  <c r="L10" i="10"/>
  <c r="L11" i="10"/>
  <c r="L12" i="10"/>
  <c r="L14" i="10"/>
  <c r="J16" i="10"/>
  <c r="L16" i="10" s="1"/>
  <c r="J17" i="10"/>
  <c r="L17" i="10" s="1"/>
  <c r="L19" i="10"/>
  <c r="L22" i="10"/>
  <c r="L23" i="10"/>
  <c r="L24" i="10"/>
  <c r="L25" i="10"/>
  <c r="L26" i="10"/>
  <c r="L27" i="10"/>
  <c r="L28" i="10"/>
  <c r="L29" i="10"/>
  <c r="L30" i="10"/>
  <c r="L31" i="10"/>
  <c r="L33" i="10"/>
  <c r="L34" i="10"/>
  <c r="L35" i="10"/>
  <c r="L36" i="10"/>
  <c r="L37" i="10"/>
  <c r="L38" i="10"/>
  <c r="L44" i="10"/>
  <c r="L46" i="10"/>
  <c r="L47" i="10"/>
  <c r="L48" i="10"/>
  <c r="J49" i="10"/>
  <c r="L49" i="10" s="1"/>
  <c r="J50" i="10"/>
  <c r="L50" i="10" s="1"/>
  <c r="J51" i="10"/>
  <c r="L51" i="10" s="1"/>
  <c r="J52" i="10"/>
  <c r="L52" i="10" s="1"/>
  <c r="L58" i="10"/>
  <c r="J59" i="10"/>
  <c r="L59" i="10" s="1"/>
  <c r="J60" i="10"/>
  <c r="L60" i="10" s="1"/>
  <c r="J61" i="10"/>
  <c r="L61" i="10" s="1"/>
  <c r="J62" i="10"/>
  <c r="L62" i="10" s="1"/>
  <c r="J63" i="10"/>
  <c r="L63" i="10" s="1"/>
  <c r="L66" i="10"/>
  <c r="J67" i="10"/>
  <c r="L67" i="10" s="1"/>
  <c r="J68" i="10"/>
  <c r="L68" i="10" s="1"/>
  <c r="J69" i="10"/>
  <c r="L69" i="10" s="1"/>
  <c r="J70" i="10"/>
  <c r="L70" i="10" s="1"/>
  <c r="J71" i="10"/>
  <c r="L71" i="10" s="1"/>
  <c r="L79" i="10"/>
  <c r="L80" i="10"/>
  <c r="J81" i="10"/>
  <c r="L81" i="10" s="1"/>
  <c r="J82" i="10"/>
  <c r="L82" i="10" s="1"/>
  <c r="J83" i="10"/>
  <c r="L83" i="10" s="1"/>
  <c r="J84" i="10"/>
  <c r="L84" i="10" s="1"/>
  <c r="J85" i="10"/>
  <c r="L85" i="10" s="1"/>
  <c r="J86" i="10"/>
  <c r="L86" i="10" s="1"/>
  <c r="L88" i="10"/>
  <c r="L89" i="10"/>
  <c r="J90" i="10"/>
  <c r="L90" i="10" s="1"/>
  <c r="L92" i="10"/>
  <c r="L95" i="10"/>
  <c r="J96" i="10"/>
  <c r="L96" i="10" s="1"/>
  <c r="J97" i="10"/>
  <c r="L97" i="10" s="1"/>
  <c r="J98" i="10"/>
  <c r="L98" i="10" s="1"/>
  <c r="J99" i="10"/>
  <c r="L99" i="10" s="1"/>
  <c r="L101" i="10"/>
  <c r="J102" i="10"/>
  <c r="L102" i="10" s="1"/>
  <c r="J103" i="10"/>
  <c r="L103" i="10" s="1"/>
  <c r="J104" i="10"/>
  <c r="L104" i="10" s="1"/>
  <c r="J105" i="10"/>
  <c r="L105" i="10" s="1"/>
  <c r="L114" i="10"/>
  <c r="L115" i="10"/>
  <c r="L116" i="10"/>
  <c r="J117" i="10"/>
  <c r="L117" i="10" s="1"/>
  <c r="J118" i="10"/>
  <c r="L118" i="10" s="1"/>
  <c r="J119" i="10"/>
  <c r="L119" i="10" s="1"/>
  <c r="J120" i="10"/>
  <c r="L120" i="10" s="1"/>
  <c r="L123" i="10"/>
  <c r="L125" i="10"/>
  <c r="L126" i="10"/>
  <c r="L127" i="10"/>
  <c r="L128" i="10"/>
  <c r="L129" i="10"/>
  <c r="L130" i="10"/>
  <c r="L133" i="10"/>
  <c r="L134" i="10"/>
  <c r="L136" i="10"/>
  <c r="L137" i="10"/>
  <c r="L138" i="10"/>
  <c r="L139" i="10"/>
  <c r="L140" i="10"/>
  <c r="L149" i="10"/>
  <c r="L150" i="10"/>
  <c r="L151" i="10"/>
  <c r="J152" i="10"/>
  <c r="L152" i="10" s="1"/>
  <c r="J153" i="10"/>
  <c r="L153" i="10" s="1"/>
  <c r="J154" i="10"/>
  <c r="L154" i="10" s="1"/>
  <c r="L156" i="10"/>
  <c r="L9" i="9"/>
  <c r="L10" i="9"/>
  <c r="L11" i="9"/>
  <c r="L12" i="9"/>
  <c r="L13" i="9"/>
  <c r="J14" i="9"/>
  <c r="L14" i="9" s="1"/>
  <c r="J15" i="9"/>
  <c r="L15" i="9" s="1"/>
  <c r="J16" i="9"/>
  <c r="L16" i="9" s="1"/>
  <c r="J17" i="9"/>
  <c r="L17" i="9" s="1"/>
  <c r="L20" i="9"/>
  <c r="J21" i="9"/>
  <c r="L21" i="9" s="1"/>
  <c r="J22" i="9"/>
  <c r="L22" i="9" s="1"/>
  <c r="L26" i="9"/>
  <c r="L27" i="9"/>
  <c r="J28" i="9"/>
  <c r="L28" i="9" s="1"/>
  <c r="L29" i="9"/>
  <c r="L30" i="9"/>
  <c r="L31" i="9"/>
  <c r="J32" i="9"/>
  <c r="L32" i="9" s="1"/>
  <c r="L33" i="9"/>
  <c r="L34" i="9"/>
  <c r="J35" i="9"/>
  <c r="L35" i="9" s="1"/>
  <c r="L42" i="9"/>
  <c r="L43" i="9"/>
  <c r="L44" i="9"/>
  <c r="L45" i="9"/>
  <c r="J46" i="9"/>
  <c r="L46" i="9" s="1"/>
  <c r="J47" i="9"/>
  <c r="L47" i="9" s="1"/>
  <c r="J48" i="9"/>
  <c r="L48" i="9" s="1"/>
  <c r="J49" i="9"/>
  <c r="L49" i="9" s="1"/>
  <c r="L52" i="9"/>
  <c r="L53" i="9"/>
  <c r="L54" i="9"/>
  <c r="J55" i="9"/>
  <c r="L55" i="9" s="1"/>
  <c r="J56" i="9"/>
  <c r="L56" i="9" s="1"/>
  <c r="L58" i="9"/>
  <c r="J59" i="9"/>
  <c r="L59" i="9" s="1"/>
  <c r="J60" i="9"/>
  <c r="L60" i="9" s="1"/>
  <c r="L62" i="9"/>
  <c r="J63" i="9"/>
  <c r="L63" i="9" s="1"/>
  <c r="L65" i="9"/>
  <c r="J66" i="9"/>
  <c r="L66" i="9" s="1"/>
  <c r="L69" i="9"/>
  <c r="J70" i="9"/>
  <c r="L70" i="9" s="1"/>
  <c r="L72" i="9"/>
  <c r="L79" i="9"/>
  <c r="L80" i="9"/>
  <c r="L81" i="9"/>
  <c r="L82" i="9"/>
  <c r="J83" i="9"/>
  <c r="L83" i="9" s="1"/>
  <c r="J84" i="9"/>
  <c r="L84" i="9" s="1"/>
  <c r="L88" i="9"/>
  <c r="L89" i="9"/>
  <c r="J90" i="9"/>
  <c r="L90" i="9" s="1"/>
  <c r="J91" i="9"/>
  <c r="L91" i="9" s="1"/>
  <c r="L93" i="9"/>
  <c r="J94" i="9"/>
  <c r="L94" i="9" s="1"/>
  <c r="J95" i="9"/>
  <c r="L95" i="9" s="1"/>
  <c r="L97" i="9"/>
  <c r="L98" i="9"/>
  <c r="J99" i="9"/>
  <c r="L99" i="9" s="1"/>
  <c r="J100" i="9"/>
  <c r="L100" i="9" s="1"/>
  <c r="L103" i="9"/>
  <c r="J104" i="9"/>
  <c r="L104" i="9" s="1"/>
  <c r="J105" i="9"/>
  <c r="L105" i="9" s="1"/>
  <c r="L115" i="9"/>
  <c r="J116" i="9"/>
  <c r="L116" i="9" s="1"/>
  <c r="J117" i="9"/>
  <c r="L117" i="9" s="1"/>
  <c r="J118" i="9"/>
  <c r="L118" i="9" s="1"/>
  <c r="J119" i="9"/>
  <c r="L119" i="9" s="1"/>
  <c r="L120" i="9"/>
  <c r="L121" i="9"/>
  <c r="J122" i="9"/>
  <c r="L122" i="9" s="1"/>
  <c r="J123" i="9"/>
  <c r="L123" i="9" s="1"/>
  <c r="J124" i="9"/>
  <c r="L124" i="9" s="1"/>
  <c r="J125" i="9"/>
  <c r="L125" i="9" s="1"/>
  <c r="L128" i="9"/>
  <c r="L129" i="9"/>
  <c r="J130" i="9"/>
  <c r="L130" i="9" s="1"/>
  <c r="J131" i="9"/>
  <c r="L131" i="9" s="1"/>
  <c r="J132" i="9"/>
  <c r="L132" i="9" s="1"/>
  <c r="J133" i="9"/>
  <c r="L133" i="9" s="1"/>
  <c r="L136" i="9"/>
  <c r="L137" i="9"/>
  <c r="L138" i="9"/>
  <c r="L139" i="9"/>
  <c r="L140" i="9"/>
  <c r="J141" i="9"/>
  <c r="L141" i="9" s="1"/>
  <c r="J142" i="9"/>
  <c r="L142" i="9" s="1"/>
  <c r="L149" i="9"/>
  <c r="J150" i="9"/>
  <c r="L150" i="9" s="1"/>
  <c r="J151" i="9"/>
  <c r="L151" i="9" s="1"/>
  <c r="L153" i="9"/>
  <c r="L154" i="9"/>
  <c r="J155" i="9"/>
  <c r="L155" i="9" s="1"/>
  <c r="J156" i="9"/>
  <c r="L156" i="9" s="1"/>
  <c r="L159" i="9"/>
  <c r="L160" i="9"/>
  <c r="L161" i="9"/>
  <c r="J162" i="9"/>
  <c r="L162" i="9" s="1"/>
  <c r="J163" i="9"/>
  <c r="L163" i="9" s="1"/>
  <c r="L166" i="9"/>
  <c r="L8" i="8"/>
  <c r="L36" i="8"/>
  <c r="C4" i="11"/>
  <c r="L3" i="12"/>
  <c r="M3" i="12" s="1"/>
  <c r="M6" i="12" s="1"/>
  <c r="K4" i="12"/>
  <c r="K5" i="12"/>
  <c r="K6" i="12"/>
  <c r="K7" i="12"/>
  <c r="I10" i="12"/>
  <c r="K10" i="12"/>
  <c r="K13" i="12"/>
  <c r="K14" i="12"/>
  <c r="K15" i="12"/>
  <c r="I18" i="12"/>
  <c r="K18" i="12"/>
  <c r="K19" i="12"/>
  <c r="I22" i="12"/>
  <c r="K22" i="12"/>
  <c r="K23" i="12"/>
  <c r="K24" i="12"/>
  <c r="K25" i="12"/>
  <c r="I26" i="12"/>
  <c r="K26" i="12"/>
  <c r="I29" i="12"/>
  <c r="K29" i="12"/>
  <c r="K30" i="12"/>
  <c r="K31" i="12"/>
  <c r="K32" i="12"/>
  <c r="I35" i="12"/>
  <c r="K35" i="12"/>
  <c r="K36" i="12"/>
  <c r="K37" i="12"/>
  <c r="L37" i="12"/>
  <c r="K38" i="12"/>
  <c r="I39" i="12"/>
  <c r="K39" i="12"/>
  <c r="I42" i="12"/>
  <c r="K42" i="12"/>
  <c r="L42" i="12"/>
  <c r="K43" i="12"/>
  <c r="I44" i="12"/>
  <c r="K44" i="12"/>
  <c r="K47" i="12"/>
  <c r="K48" i="12"/>
  <c r="I51" i="12"/>
  <c r="K51" i="12"/>
  <c r="L51" i="12"/>
  <c r="K52" i="12"/>
  <c r="K53" i="12"/>
  <c r="L53" i="12"/>
  <c r="K54" i="12"/>
  <c r="I57" i="12"/>
  <c r="K57" i="12"/>
  <c r="I58" i="12"/>
  <c r="K58" i="12"/>
  <c r="L58" i="12"/>
  <c r="K59" i="12"/>
  <c r="I60" i="12"/>
  <c r="K60" i="12"/>
  <c r="I63" i="12"/>
  <c r="K63" i="12"/>
  <c r="L63" i="12"/>
  <c r="K64" i="12"/>
  <c r="K65" i="12"/>
  <c r="L65" i="12"/>
  <c r="K66" i="12"/>
  <c r="K68" i="12"/>
  <c r="L68" i="12"/>
  <c r="C6" i="13"/>
  <c r="D6" i="13"/>
  <c r="E6" i="13"/>
  <c r="F6" i="13"/>
  <c r="G6" i="13"/>
  <c r="H6" i="13"/>
  <c r="C11" i="13"/>
  <c r="D11" i="13"/>
  <c r="E11" i="13"/>
  <c r="F11" i="13"/>
  <c r="G11" i="13"/>
  <c r="H11" i="13"/>
  <c r="C16" i="13"/>
  <c r="D16" i="13"/>
  <c r="E16" i="13"/>
  <c r="F16" i="13"/>
  <c r="G16" i="13"/>
  <c r="H16" i="13"/>
  <c r="C21" i="13"/>
  <c r="D21" i="13"/>
  <c r="E21" i="13"/>
  <c r="F21" i="13"/>
  <c r="G21" i="13"/>
  <c r="H21" i="13"/>
  <c r="C27" i="13"/>
  <c r="D27" i="13"/>
  <c r="E27" i="13"/>
  <c r="F27" i="13"/>
  <c r="G27" i="13"/>
  <c r="H27" i="13"/>
  <c r="C32" i="13"/>
  <c r="D32" i="13"/>
  <c r="E32" i="13"/>
  <c r="F32" i="13"/>
  <c r="G32" i="13"/>
  <c r="H32" i="13"/>
  <c r="C37" i="13"/>
  <c r="D37" i="13"/>
  <c r="E37" i="13"/>
  <c r="F37" i="13"/>
  <c r="G37" i="13"/>
  <c r="H37" i="13"/>
  <c r="C42" i="13"/>
  <c r="D42" i="13"/>
  <c r="E42" i="13"/>
  <c r="F42" i="13"/>
  <c r="G42" i="13"/>
  <c r="H42" i="13"/>
  <c r="AU10" i="7"/>
  <c r="AU11" i="7"/>
  <c r="AU12" i="7"/>
  <c r="AU13" i="7"/>
  <c r="AT14" i="7"/>
  <c r="J14" i="7" s="1"/>
  <c r="AV14" i="7" s="1"/>
  <c r="AU14" i="7"/>
  <c r="AT15" i="7"/>
  <c r="J15" i="7" s="1"/>
  <c r="AV15" i="7" s="1"/>
  <c r="AL15" i="7"/>
  <c r="AU15" i="7"/>
  <c r="AT16" i="7"/>
  <c r="J16" i="7" s="1"/>
  <c r="AV16" i="7" s="1"/>
  <c r="AU16" i="7"/>
  <c r="AT17" i="7"/>
  <c r="L17" i="7" s="1"/>
  <c r="AU17" i="7"/>
  <c r="AT18" i="7"/>
  <c r="J18" i="7" s="1"/>
  <c r="AV18" i="7" s="1"/>
  <c r="AU18" i="7"/>
  <c r="AT19" i="7"/>
  <c r="J19" i="7" s="1"/>
  <c r="AV19" i="7" s="1"/>
  <c r="AU19" i="7"/>
  <c r="AT20" i="7"/>
  <c r="J20" i="7" s="1"/>
  <c r="AV20" i="7" s="1"/>
  <c r="X20" i="7"/>
  <c r="AU20" i="7"/>
  <c r="AT21" i="7"/>
  <c r="L21" i="7" s="1"/>
  <c r="AU21" i="7"/>
  <c r="AT22" i="7"/>
  <c r="J22" i="7" s="1"/>
  <c r="AV22" i="7" s="1"/>
  <c r="AU22" i="7"/>
  <c r="AT23" i="7"/>
  <c r="J23" i="7" s="1"/>
  <c r="AV23" i="7" s="1"/>
  <c r="P23" i="7"/>
  <c r="X23" i="7"/>
  <c r="AF23" i="7"/>
  <c r="AN23" i="7"/>
  <c r="AR23" i="7"/>
  <c r="AU23" i="7"/>
  <c r="AT24" i="7"/>
  <c r="J24" i="7" s="1"/>
  <c r="AV24" i="7" s="1"/>
  <c r="AU24" i="7"/>
  <c r="AT25" i="7"/>
  <c r="L25" i="7" s="1"/>
  <c r="AN25" i="7"/>
  <c r="AU25" i="7"/>
  <c r="AT26" i="7"/>
  <c r="J26" i="7" s="1"/>
  <c r="AV26" i="7" s="1"/>
  <c r="AU26" i="7"/>
  <c r="AT27" i="7"/>
  <c r="L27" i="7" s="1"/>
  <c r="AU27" i="7"/>
  <c r="AT28" i="7"/>
  <c r="J28" i="7" s="1"/>
  <c r="AV28" i="7" s="1"/>
  <c r="AF28" i="7"/>
  <c r="AU28" i="7"/>
  <c r="AT29" i="7"/>
  <c r="L29" i="7" s="1"/>
  <c r="AU29" i="7"/>
  <c r="AT30" i="7"/>
  <c r="J30" i="7" s="1"/>
  <c r="AV30" i="7" s="1"/>
  <c r="AU30" i="7"/>
  <c r="AT31" i="7"/>
  <c r="J31" i="7" s="1"/>
  <c r="AV31" i="7" s="1"/>
  <c r="X31" i="7"/>
  <c r="AU31" i="7"/>
  <c r="AT32" i="7"/>
  <c r="J32" i="7" s="1"/>
  <c r="AV32" i="7" s="1"/>
  <c r="AU32" i="7"/>
  <c r="AT33" i="7"/>
  <c r="L33" i="7" s="1"/>
  <c r="AU33" i="7"/>
  <c r="AT34" i="7"/>
  <c r="J34" i="7" s="1"/>
  <c r="AV34" i="7" s="1"/>
  <c r="AU34" i="7"/>
  <c r="AT35" i="7"/>
  <c r="L35" i="7" s="1"/>
  <c r="R35" i="7"/>
  <c r="AD35" i="7"/>
  <c r="AU35" i="7"/>
  <c r="AT36" i="7"/>
  <c r="J36" i="7" s="1"/>
  <c r="AV36" i="7" s="1"/>
  <c r="AU36" i="7"/>
  <c r="AT37" i="7"/>
  <c r="L37" i="7" s="1"/>
  <c r="AF37" i="7"/>
  <c r="AU37" i="7"/>
  <c r="AT38" i="7"/>
  <c r="J38" i="7" s="1"/>
  <c r="AV38" i="7" s="1"/>
  <c r="AU38" i="7"/>
  <c r="AT39" i="7"/>
  <c r="J39" i="7" s="1"/>
  <c r="AV39" i="7" s="1"/>
  <c r="AU39" i="7"/>
  <c r="AT40" i="7"/>
  <c r="J40" i="7" s="1"/>
  <c r="AV40" i="7" s="1"/>
  <c r="AU40" i="7"/>
  <c r="AT41" i="7"/>
  <c r="L41" i="7" s="1"/>
  <c r="AU41" i="7"/>
  <c r="AT42" i="7"/>
  <c r="J42" i="7" s="1"/>
  <c r="AV42" i="7" s="1"/>
  <c r="AU42" i="7"/>
  <c r="AT43" i="7"/>
  <c r="L43" i="7" s="1"/>
  <c r="AU43" i="7"/>
  <c r="AT44" i="7"/>
  <c r="J44" i="7" s="1"/>
  <c r="AV44" i="7" s="1"/>
  <c r="AU44" i="7"/>
  <c r="AT45" i="7"/>
  <c r="L45" i="7" s="1"/>
  <c r="AU45" i="7"/>
  <c r="AT46" i="7"/>
  <c r="J46" i="7" s="1"/>
  <c r="AV46" i="7" s="1"/>
  <c r="AU46" i="7"/>
  <c r="AT47" i="7"/>
  <c r="J47" i="7" s="1"/>
  <c r="AV47" i="7" s="1"/>
  <c r="AU47" i="7"/>
  <c r="AT48" i="7"/>
  <c r="J48" i="7" s="1"/>
  <c r="AV48" i="7" s="1"/>
  <c r="AU48" i="7"/>
  <c r="AT49" i="7"/>
  <c r="L49" i="7" s="1"/>
  <c r="AU49" i="7"/>
  <c r="AT50" i="7"/>
  <c r="J50" i="7" s="1"/>
  <c r="AV50" i="7" s="1"/>
  <c r="AU50" i="7"/>
  <c r="AT51" i="7"/>
  <c r="L51" i="7" s="1"/>
  <c r="AU51" i="7"/>
  <c r="AU55" i="7"/>
  <c r="AU56" i="7"/>
  <c r="AU57" i="7"/>
  <c r="AU58" i="7"/>
  <c r="K59" i="7"/>
  <c r="K69" i="7" s="1"/>
  <c r="M59" i="7"/>
  <c r="M69" i="7" s="1"/>
  <c r="O59" i="7"/>
  <c r="O69" i="7" s="1"/>
  <c r="Q59" i="7"/>
  <c r="Q69" i="7" s="1"/>
  <c r="S59" i="7"/>
  <c r="S69" i="7" s="1"/>
  <c r="AI59" i="7"/>
  <c r="AI69" i="7" s="1"/>
  <c r="AK59" i="7"/>
  <c r="AK60" i="7" s="1"/>
  <c r="AK62" i="7" s="1"/>
  <c r="AM59" i="7"/>
  <c r="AM69" i="7" s="1"/>
  <c r="AO59" i="7"/>
  <c r="AO69" i="7" s="1"/>
  <c r="AQ59" i="7"/>
  <c r="AQ69" i="7" s="1"/>
  <c r="AS59" i="7"/>
  <c r="AS60" i="7" s="1"/>
  <c r="AS61" i="7" s="1"/>
  <c r="AS62" i="7" s="1"/>
  <c r="AS63" i="7" s="1"/>
  <c r="U60" i="7"/>
  <c r="U62" i="7" s="1"/>
  <c r="W60" i="7"/>
  <c r="W62" i="7" s="1"/>
  <c r="Y60" i="7"/>
  <c r="Y62" i="7" s="1"/>
  <c r="AA60" i="7"/>
  <c r="AA62" i="7" s="1"/>
  <c r="AC60" i="7"/>
  <c r="AC62" i="7" s="1"/>
  <c r="AE60" i="7"/>
  <c r="AE62" i="7" s="1"/>
  <c r="AG60" i="7"/>
  <c r="AG62" i="7" s="1"/>
  <c r="I15" i="5"/>
  <c r="I119" i="5"/>
  <c r="F99" i="16"/>
  <c r="V50" i="7"/>
  <c r="AD48" i="7"/>
  <c r="V48" i="7"/>
  <c r="R48" i="7"/>
  <c r="AL46" i="7"/>
  <c r="AP44" i="7"/>
  <c r="AL44" i="7"/>
  <c r="AH44" i="7"/>
  <c r="Z44" i="7"/>
  <c r="V44" i="7"/>
  <c r="R44" i="7"/>
  <c r="AL42" i="7"/>
  <c r="V42" i="7"/>
  <c r="AP40" i="7"/>
  <c r="Z40" i="7"/>
  <c r="AL38" i="7"/>
  <c r="AD36" i="7"/>
  <c r="N36" i="7"/>
  <c r="AL34" i="7"/>
  <c r="V34" i="7"/>
  <c r="AL32" i="7"/>
  <c r="V32" i="7"/>
  <c r="AL30" i="7"/>
  <c r="V30" i="7"/>
  <c r="AP28" i="7"/>
  <c r="AL28" i="7"/>
  <c r="AH28" i="7"/>
  <c r="AD28" i="7"/>
  <c r="Z28" i="7"/>
  <c r="V28" i="7"/>
  <c r="R28" i="7"/>
  <c r="N28" i="7"/>
  <c r="AL26" i="7"/>
  <c r="V26" i="7"/>
  <c r="AP24" i="7"/>
  <c r="AL24" i="7"/>
  <c r="AH24" i="7"/>
  <c r="AD24" i="7"/>
  <c r="Z24" i="7"/>
  <c r="V24" i="7"/>
  <c r="R24" i="7"/>
  <c r="N24" i="7"/>
  <c r="AP20" i="7"/>
  <c r="AL20" i="7"/>
  <c r="AH20" i="7"/>
  <c r="AD20" i="7"/>
  <c r="Z20" i="7"/>
  <c r="V20" i="7"/>
  <c r="R20" i="7"/>
  <c r="N20" i="7"/>
  <c r="AL18" i="7"/>
  <c r="V18" i="7"/>
  <c r="AP16" i="7"/>
  <c r="AL16" i="7"/>
  <c r="AH16" i="7"/>
  <c r="AD16" i="7"/>
  <c r="Z16" i="7"/>
  <c r="V16" i="7"/>
  <c r="R16" i="7"/>
  <c r="N16" i="7"/>
  <c r="AP14" i="7"/>
  <c r="AL14" i="7"/>
  <c r="AH14" i="7"/>
  <c r="AD14" i="7"/>
  <c r="Z14" i="7"/>
  <c r="V14" i="7"/>
  <c r="R14" i="7"/>
  <c r="N14" i="7"/>
  <c r="M18" i="12"/>
  <c r="M43" i="12"/>
  <c r="M64" i="12"/>
  <c r="M15" i="12"/>
  <c r="M32" i="12"/>
  <c r="AP51" i="7" l="1"/>
  <c r="AN46" i="7"/>
  <c r="AN43" i="7"/>
  <c r="AN38" i="7"/>
  <c r="AN35" i="7"/>
  <c r="AF29" i="7"/>
  <c r="X16" i="7"/>
  <c r="Z51" i="7"/>
  <c r="AN44" i="7"/>
  <c r="R43" i="7"/>
  <c r="AF17" i="7"/>
  <c r="Z32" i="7"/>
  <c r="AP32" i="7"/>
  <c r="R36" i="7"/>
  <c r="AH36" i="7"/>
  <c r="N40" i="7"/>
  <c r="AD40" i="7"/>
  <c r="AN51" i="7"/>
  <c r="V51" i="7"/>
  <c r="AF45" i="7"/>
  <c r="P37" i="7"/>
  <c r="X33" i="7"/>
  <c r="P29" i="7"/>
  <c r="AB23" i="7"/>
  <c r="L23" i="7"/>
  <c r="AJ15" i="7"/>
  <c r="T15" i="7"/>
  <c r="N32" i="7"/>
  <c r="AD32" i="7"/>
  <c r="V36" i="7"/>
  <c r="AL36" i="7"/>
  <c r="R40" i="7"/>
  <c r="AH40" i="7"/>
  <c r="AL51" i="7"/>
  <c r="P51" i="7"/>
  <c r="AD15" i="7"/>
  <c r="P15" i="7"/>
  <c r="X15" i="7"/>
  <c r="R32" i="7"/>
  <c r="AH32" i="7"/>
  <c r="Z36" i="7"/>
  <c r="AP36" i="7"/>
  <c r="V40" i="7"/>
  <c r="AL40" i="7"/>
  <c r="AD51" i="7"/>
  <c r="J51" i="7"/>
  <c r="AV51" i="7" s="1"/>
  <c r="AN40" i="7"/>
  <c r="AN37" i="7"/>
  <c r="AN29" i="7"/>
  <c r="X27" i="7"/>
  <c r="AJ23" i="7"/>
  <c r="T23" i="7"/>
  <c r="P19" i="7"/>
  <c r="AN16" i="7"/>
  <c r="AN15" i="7"/>
  <c r="AB15" i="7"/>
  <c r="N15" i="7"/>
  <c r="AN45" i="7"/>
  <c r="AN41" i="7"/>
  <c r="AP35" i="7"/>
  <c r="AF35" i="7"/>
  <c r="V35" i="7"/>
  <c r="J35" i="7"/>
  <c r="AV35" i="7" s="1"/>
  <c r="X32" i="7"/>
  <c r="L35" i="12"/>
  <c r="L26" i="12"/>
  <c r="L19" i="12"/>
  <c r="AN49" i="7"/>
  <c r="AN48" i="7"/>
  <c r="AN47" i="7"/>
  <c r="N48" i="7"/>
  <c r="AL48" i="7"/>
  <c r="S60" i="7"/>
  <c r="AF51" i="7"/>
  <c r="R51" i="7"/>
  <c r="X49" i="7"/>
  <c r="X48" i="7"/>
  <c r="X47" i="7"/>
  <c r="X45" i="7"/>
  <c r="P44" i="7"/>
  <c r="AD43" i="7"/>
  <c r="AN39" i="7"/>
  <c r="X37" i="7"/>
  <c r="AL35" i="7"/>
  <c r="Z35" i="7"/>
  <c r="P35" i="7"/>
  <c r="X29" i="7"/>
  <c r="AN28" i="7"/>
  <c r="AN27" i="7"/>
  <c r="P17" i="7"/>
  <c r="AF16" i="7"/>
  <c r="AR15" i="7"/>
  <c r="AF15" i="7"/>
  <c r="V15" i="7"/>
  <c r="L15" i="7"/>
  <c r="L13" i="12"/>
  <c r="L7" i="12"/>
  <c r="AH35" i="7"/>
  <c r="X35" i="7"/>
  <c r="N35" i="7"/>
  <c r="AN19" i="7"/>
  <c r="AO60" i="7"/>
  <c r="AO62" i="7" s="1"/>
  <c r="AL43" i="7"/>
  <c r="Z43" i="7"/>
  <c r="P43" i="7"/>
  <c r="X41" i="7"/>
  <c r="X40" i="7"/>
  <c r="X39" i="7"/>
  <c r="AN36" i="7"/>
  <c r="AL27" i="7"/>
  <c r="V27" i="7"/>
  <c r="L5" i="12"/>
  <c r="AK69" i="7"/>
  <c r="AH43" i="7"/>
  <c r="X43" i="7"/>
  <c r="N43" i="7"/>
  <c r="AF36" i="7"/>
  <c r="AF27" i="7"/>
  <c r="P27" i="7"/>
  <c r="AF19" i="7"/>
  <c r="AN17" i="7"/>
  <c r="P16" i="7"/>
  <c r="AP15" i="7"/>
  <c r="AH15" i="7"/>
  <c r="Z15" i="7"/>
  <c r="R15" i="7"/>
  <c r="K60" i="7"/>
  <c r="K61" i="7" s="1"/>
  <c r="AH51" i="7"/>
  <c r="X51" i="7"/>
  <c r="N51" i="7"/>
  <c r="P45" i="7"/>
  <c r="AF44" i="7"/>
  <c r="AP43" i="7"/>
  <c r="AF43" i="7"/>
  <c r="V43" i="7"/>
  <c r="J43" i="7"/>
  <c r="AV43" i="7" s="1"/>
  <c r="P36" i="7"/>
  <c r="AN33" i="7"/>
  <c r="AN32" i="7"/>
  <c r="AN31" i="7"/>
  <c r="AN30" i="7"/>
  <c r="AD27" i="7"/>
  <c r="N27" i="7"/>
  <c r="AN24" i="7"/>
  <c r="AF21" i="7"/>
  <c r="X19" i="7"/>
  <c r="AN18" i="7"/>
  <c r="M44" i="12"/>
  <c r="M23" i="12"/>
  <c r="M66" i="12"/>
  <c r="M52" i="12"/>
  <c r="M26" i="12"/>
  <c r="AR47" i="7"/>
  <c r="AB47" i="7"/>
  <c r="L47" i="7"/>
  <c r="AR39" i="7"/>
  <c r="AB39" i="7"/>
  <c r="L39" i="7"/>
  <c r="AR31" i="7"/>
  <c r="AB31" i="7"/>
  <c r="L31" i="7"/>
  <c r="AN22" i="7"/>
  <c r="AJ19" i="7"/>
  <c r="T19" i="7"/>
  <c r="L60" i="12"/>
  <c r="L57" i="12"/>
  <c r="L48" i="12"/>
  <c r="L44" i="12"/>
  <c r="L39" i="12"/>
  <c r="L32" i="12"/>
  <c r="L30" i="12"/>
  <c r="L25" i="12"/>
  <c r="L23" i="12"/>
  <c r="M48" i="12"/>
  <c r="N3" i="12"/>
  <c r="N31" i="12" s="1"/>
  <c r="M4" i="12"/>
  <c r="AF47" i="7"/>
  <c r="P47" i="7"/>
  <c r="AF39" i="7"/>
  <c r="P39" i="7"/>
  <c r="AF31" i="7"/>
  <c r="P31" i="7"/>
  <c r="P28" i="7"/>
  <c r="AP27" i="7"/>
  <c r="AH27" i="7"/>
  <c r="Z27" i="7"/>
  <c r="R27" i="7"/>
  <c r="J27" i="7"/>
  <c r="AV27" i="7" s="1"/>
  <c r="L66" i="12"/>
  <c r="L64" i="12"/>
  <c r="L59" i="12"/>
  <c r="L54" i="12"/>
  <c r="L52" i="12"/>
  <c r="L43" i="12"/>
  <c r="L38" i="12"/>
  <c r="L36" i="12"/>
  <c r="L18" i="12"/>
  <c r="L6" i="12"/>
  <c r="L4" i="12"/>
  <c r="M25" i="12"/>
  <c r="M54" i="12"/>
  <c r="M36" i="12"/>
  <c r="AL22" i="7"/>
  <c r="M60" i="12"/>
  <c r="M30" i="12"/>
  <c r="M13" i="12"/>
  <c r="M59" i="12"/>
  <c r="M38" i="12"/>
  <c r="V22" i="7"/>
  <c r="V38" i="7"/>
  <c r="N44" i="7"/>
  <c r="AD44" i="7"/>
  <c r="V46" i="7"/>
  <c r="AR51" i="7"/>
  <c r="AJ51" i="7"/>
  <c r="AB51" i="7"/>
  <c r="T51" i="7"/>
  <c r="AJ47" i="7"/>
  <c r="T47" i="7"/>
  <c r="X44" i="7"/>
  <c r="AR43" i="7"/>
  <c r="AJ43" i="7"/>
  <c r="AB43" i="7"/>
  <c r="T43" i="7"/>
  <c r="AJ39" i="7"/>
  <c r="T39" i="7"/>
  <c r="X36" i="7"/>
  <c r="AR35" i="7"/>
  <c r="AJ35" i="7"/>
  <c r="AB35" i="7"/>
  <c r="T35" i="7"/>
  <c r="AJ31" i="7"/>
  <c r="T31" i="7"/>
  <c r="X28" i="7"/>
  <c r="AR27" i="7"/>
  <c r="AJ27" i="7"/>
  <c r="AB27" i="7"/>
  <c r="T27" i="7"/>
  <c r="AN26" i="7"/>
  <c r="X25" i="7"/>
  <c r="X24" i="7"/>
  <c r="AN20" i="7"/>
  <c r="AR19" i="7"/>
  <c r="AB19" i="7"/>
  <c r="L19" i="7"/>
  <c r="X17" i="7"/>
  <c r="L47" i="12"/>
  <c r="L31" i="12"/>
  <c r="L29" i="12"/>
  <c r="L24" i="12"/>
  <c r="L22" i="12"/>
  <c r="L15" i="12"/>
  <c r="AQ60" i="7"/>
  <c r="AQ62" i="7" s="1"/>
  <c r="AM60" i="7"/>
  <c r="AM62" i="7" s="1"/>
  <c r="AI60" i="7"/>
  <c r="AI62" i="7" s="1"/>
  <c r="AN50" i="7"/>
  <c r="AF49" i="7"/>
  <c r="P49" i="7"/>
  <c r="AF48" i="7"/>
  <c r="P48" i="7"/>
  <c r="AP47" i="7"/>
  <c r="AL47" i="7"/>
  <c r="AH47" i="7"/>
  <c r="AD47" i="7"/>
  <c r="Z47" i="7"/>
  <c r="V47" i="7"/>
  <c r="R47" i="7"/>
  <c r="N47" i="7"/>
  <c r="AN42" i="7"/>
  <c r="AF41" i="7"/>
  <c r="P41" i="7"/>
  <c r="AF40" i="7"/>
  <c r="P40" i="7"/>
  <c r="AP39" i="7"/>
  <c r="AL39" i="7"/>
  <c r="AH39" i="7"/>
  <c r="AD39" i="7"/>
  <c r="Z39" i="7"/>
  <c r="V39" i="7"/>
  <c r="R39" i="7"/>
  <c r="N39" i="7"/>
  <c r="AN34" i="7"/>
  <c r="AF33" i="7"/>
  <c r="P33" i="7"/>
  <c r="AF32" i="7"/>
  <c r="P32" i="7"/>
  <c r="AP31" i="7"/>
  <c r="AL31" i="7"/>
  <c r="AH31" i="7"/>
  <c r="AD31" i="7"/>
  <c r="Z31" i="7"/>
  <c r="V31" i="7"/>
  <c r="R31" i="7"/>
  <c r="N31" i="7"/>
  <c r="AF25" i="7"/>
  <c r="P25" i="7"/>
  <c r="AF24" i="7"/>
  <c r="P24" i="7"/>
  <c r="AP23" i="7"/>
  <c r="AL23" i="7"/>
  <c r="AH23" i="7"/>
  <c r="AD23" i="7"/>
  <c r="Z23" i="7"/>
  <c r="V23" i="7"/>
  <c r="R23" i="7"/>
  <c r="N23" i="7"/>
  <c r="AN21" i="7"/>
  <c r="X21" i="7"/>
  <c r="AF20" i="7"/>
  <c r="P20" i="7"/>
  <c r="AP19" i="7"/>
  <c r="AL19" i="7"/>
  <c r="AH19" i="7"/>
  <c r="AD19" i="7"/>
  <c r="Z19" i="7"/>
  <c r="V19" i="7"/>
  <c r="R19" i="7"/>
  <c r="N19" i="7"/>
  <c r="AN14" i="7"/>
  <c r="P21" i="7"/>
  <c r="AH18" i="7"/>
  <c r="AH22" i="7"/>
  <c r="AH26" i="7"/>
  <c r="AH30" i="7"/>
  <c r="R34" i="7"/>
  <c r="AH38" i="7"/>
  <c r="AH42" i="7"/>
  <c r="AH46" i="7"/>
  <c r="N50" i="7"/>
  <c r="P50" i="7"/>
  <c r="AP49" i="7"/>
  <c r="AH49" i="7"/>
  <c r="Z49" i="7"/>
  <c r="R49" i="7"/>
  <c r="J49" i="7"/>
  <c r="AV49" i="7" s="1"/>
  <c r="P46" i="7"/>
  <c r="AP45" i="7"/>
  <c r="AH45" i="7"/>
  <c r="Z45" i="7"/>
  <c r="R45" i="7"/>
  <c r="J45" i="7"/>
  <c r="AV45" i="7" s="1"/>
  <c r="Z18" i="7"/>
  <c r="AP18" i="7"/>
  <c r="Z22" i="7"/>
  <c r="AP22" i="7"/>
  <c r="Z26" i="7"/>
  <c r="AP26" i="7"/>
  <c r="Z30" i="7"/>
  <c r="AP30" i="7"/>
  <c r="Z34" i="7"/>
  <c r="AP34" i="7"/>
  <c r="Z38" i="7"/>
  <c r="AP38" i="7"/>
  <c r="Z42" i="7"/>
  <c r="AP42" i="7"/>
  <c r="Z46" i="7"/>
  <c r="AP46" i="7"/>
  <c r="AD50" i="7"/>
  <c r="AF50" i="7"/>
  <c r="AL49" i="7"/>
  <c r="AD49" i="7"/>
  <c r="V49" i="7"/>
  <c r="N49" i="7"/>
  <c r="AF46" i="7"/>
  <c r="AL45" i="7"/>
  <c r="AD45" i="7"/>
  <c r="V45" i="7"/>
  <c r="N45" i="7"/>
  <c r="AF42" i="7"/>
  <c r="AL41" i="7"/>
  <c r="AD41" i="7"/>
  <c r="V41" i="7"/>
  <c r="N41" i="7"/>
  <c r="AF38" i="7"/>
  <c r="AL37" i="7"/>
  <c r="AD37" i="7"/>
  <c r="V37" i="7"/>
  <c r="N37" i="7"/>
  <c r="AF34" i="7"/>
  <c r="AL33" i="7"/>
  <c r="AD33" i="7"/>
  <c r="V33" i="7"/>
  <c r="N33" i="7"/>
  <c r="AF30" i="7"/>
  <c r="AL29" i="7"/>
  <c r="AD29" i="7"/>
  <c r="V29" i="7"/>
  <c r="N29" i="7"/>
  <c r="AF26" i="7"/>
  <c r="AL25" i="7"/>
  <c r="AD25" i="7"/>
  <c r="V25" i="7"/>
  <c r="N25" i="7"/>
  <c r="AF22" i="7"/>
  <c r="AL21" i="7"/>
  <c r="AD21" i="7"/>
  <c r="V21" i="7"/>
  <c r="N21" i="7"/>
  <c r="AF18" i="7"/>
  <c r="AL17" i="7"/>
  <c r="AD17" i="7"/>
  <c r="V17" i="7"/>
  <c r="N17" i="7"/>
  <c r="L14" i="12"/>
  <c r="L10" i="12"/>
  <c r="L157" i="10"/>
  <c r="L15" i="8" s="1"/>
  <c r="R18" i="7"/>
  <c r="R22" i="7"/>
  <c r="R26" i="7"/>
  <c r="R30" i="7"/>
  <c r="AH34" i="7"/>
  <c r="R38" i="7"/>
  <c r="R42" i="7"/>
  <c r="R46" i="7"/>
  <c r="P42" i="7"/>
  <c r="AP41" i="7"/>
  <c r="AH41" i="7"/>
  <c r="Z41" i="7"/>
  <c r="R41" i="7"/>
  <c r="J41" i="7"/>
  <c r="AV41" i="7" s="1"/>
  <c r="P38" i="7"/>
  <c r="AP37" i="7"/>
  <c r="AH37" i="7"/>
  <c r="Z37" i="7"/>
  <c r="R37" i="7"/>
  <c r="J37" i="7"/>
  <c r="AV37" i="7" s="1"/>
  <c r="P34" i="7"/>
  <c r="AP33" i="7"/>
  <c r="AH33" i="7"/>
  <c r="Z33" i="7"/>
  <c r="R33" i="7"/>
  <c r="J33" i="7"/>
  <c r="AV33" i="7" s="1"/>
  <c r="P30" i="7"/>
  <c r="AP29" i="7"/>
  <c r="AH29" i="7"/>
  <c r="Z29" i="7"/>
  <c r="R29" i="7"/>
  <c r="J29" i="7"/>
  <c r="AV29" i="7" s="1"/>
  <c r="P26" i="7"/>
  <c r="AP25" i="7"/>
  <c r="AH25" i="7"/>
  <c r="Z25" i="7"/>
  <c r="R25" i="7"/>
  <c r="J25" i="7"/>
  <c r="AV25" i="7" s="1"/>
  <c r="P22" i="7"/>
  <c r="AP21" i="7"/>
  <c r="AH21" i="7"/>
  <c r="Z21" i="7"/>
  <c r="R21" i="7"/>
  <c r="J21" i="7"/>
  <c r="AV21" i="7" s="1"/>
  <c r="P18" i="7"/>
  <c r="AP17" i="7"/>
  <c r="AH17" i="7"/>
  <c r="Z17" i="7"/>
  <c r="R17" i="7"/>
  <c r="J17" i="7"/>
  <c r="AV17" i="7" s="1"/>
  <c r="N4" i="12"/>
  <c r="N18" i="7"/>
  <c r="AD18" i="7"/>
  <c r="N22" i="7"/>
  <c r="AD22" i="7"/>
  <c r="N26" i="7"/>
  <c r="AD26" i="7"/>
  <c r="N30" i="7"/>
  <c r="AD30" i="7"/>
  <c r="N34" i="7"/>
  <c r="AD34" i="7"/>
  <c r="N38" i="7"/>
  <c r="AD38" i="7"/>
  <c r="N42" i="7"/>
  <c r="AD42" i="7"/>
  <c r="N46" i="7"/>
  <c r="AD46" i="7"/>
  <c r="AL50" i="7"/>
  <c r="O60" i="7"/>
  <c r="O61" i="7" s="1"/>
  <c r="X50" i="7"/>
  <c r="AR49" i="7"/>
  <c r="AJ49" i="7"/>
  <c r="AB49" i="7"/>
  <c r="T49" i="7"/>
  <c r="X46" i="7"/>
  <c r="AR45" i="7"/>
  <c r="AJ45" i="7"/>
  <c r="AB45" i="7"/>
  <c r="T45" i="7"/>
  <c r="X42" i="7"/>
  <c r="AR41" i="7"/>
  <c r="AJ41" i="7"/>
  <c r="AB41" i="7"/>
  <c r="T41" i="7"/>
  <c r="X38" i="7"/>
  <c r="AR37" i="7"/>
  <c r="AJ37" i="7"/>
  <c r="AB37" i="7"/>
  <c r="T37" i="7"/>
  <c r="X34" i="7"/>
  <c r="AR33" i="7"/>
  <c r="AJ33" i="7"/>
  <c r="AB33" i="7"/>
  <c r="T33" i="7"/>
  <c r="X30" i="7"/>
  <c r="AR29" i="7"/>
  <c r="AJ29" i="7"/>
  <c r="AB29" i="7"/>
  <c r="T29" i="7"/>
  <c r="X26" i="7"/>
  <c r="AR25" i="7"/>
  <c r="AJ25" i="7"/>
  <c r="AB25" i="7"/>
  <c r="T25" i="7"/>
  <c r="X22" i="7"/>
  <c r="AR21" i="7"/>
  <c r="AJ21" i="7"/>
  <c r="AB21" i="7"/>
  <c r="T21" i="7"/>
  <c r="X18" i="7"/>
  <c r="AR17" i="7"/>
  <c r="AJ17" i="7"/>
  <c r="AB17" i="7"/>
  <c r="T17" i="7"/>
  <c r="L167" i="9"/>
  <c r="L13" i="8" s="1"/>
  <c r="X14" i="7"/>
  <c r="AF14" i="7"/>
  <c r="P14" i="7"/>
  <c r="N63" i="12"/>
  <c r="N42" i="12"/>
  <c r="N7" i="12"/>
  <c r="N44" i="12"/>
  <c r="N23" i="12"/>
  <c r="Q60" i="7"/>
  <c r="Q61" i="7" s="1"/>
  <c r="M60" i="7"/>
  <c r="M61" i="7" s="1"/>
  <c r="M5" i="12"/>
  <c r="M7" i="12"/>
  <c r="M19" i="12"/>
  <c r="M35" i="12"/>
  <c r="M37" i="12"/>
  <c r="M42" i="12"/>
  <c r="M51" i="12"/>
  <c r="M53" i="12"/>
  <c r="M58" i="12"/>
  <c r="M63" i="12"/>
  <c r="M65" i="12"/>
  <c r="M68" i="12"/>
  <c r="M10" i="12"/>
  <c r="M14" i="12"/>
  <c r="M22" i="12"/>
  <c r="M24" i="12"/>
  <c r="M29" i="12"/>
  <c r="M31" i="12"/>
  <c r="M39" i="12"/>
  <c r="M47" i="12"/>
  <c r="M57" i="12"/>
  <c r="AT13" i="7"/>
  <c r="AT58" i="7"/>
  <c r="AT57" i="7"/>
  <c r="AT12" i="7"/>
  <c r="AT11" i="7"/>
  <c r="AT56" i="7"/>
  <c r="AT10" i="7"/>
  <c r="AT55" i="7"/>
  <c r="Z48" i="7"/>
  <c r="AH48" i="7"/>
  <c r="AP48" i="7"/>
  <c r="R50" i="7"/>
  <c r="Z50" i="7"/>
  <c r="AH50" i="7"/>
  <c r="AP50" i="7"/>
  <c r="AR50" i="7"/>
  <c r="AJ50" i="7"/>
  <c r="AB50" i="7"/>
  <c r="T50" i="7"/>
  <c r="L50" i="7"/>
  <c r="AR48" i="7"/>
  <c r="AJ48" i="7"/>
  <c r="AB48" i="7"/>
  <c r="T48" i="7"/>
  <c r="L48" i="7"/>
  <c r="AR46" i="7"/>
  <c r="AJ46" i="7"/>
  <c r="AB46" i="7"/>
  <c r="T46" i="7"/>
  <c r="L46" i="7"/>
  <c r="AR44" i="7"/>
  <c r="AJ44" i="7"/>
  <c r="AB44" i="7"/>
  <c r="T44" i="7"/>
  <c r="L44" i="7"/>
  <c r="AR42" i="7"/>
  <c r="AJ42" i="7"/>
  <c r="AB42" i="7"/>
  <c r="T42" i="7"/>
  <c r="L42" i="7"/>
  <c r="AR40" i="7"/>
  <c r="AJ40" i="7"/>
  <c r="AB40" i="7"/>
  <c r="T40" i="7"/>
  <c r="L40" i="7"/>
  <c r="AR38" i="7"/>
  <c r="AJ38" i="7"/>
  <c r="AB38" i="7"/>
  <c r="T38" i="7"/>
  <c r="L38" i="7"/>
  <c r="AR36" i="7"/>
  <c r="AJ36" i="7"/>
  <c r="AB36" i="7"/>
  <c r="T36" i="7"/>
  <c r="L36" i="7"/>
  <c r="AR34" i="7"/>
  <c r="AJ34" i="7"/>
  <c r="AB34" i="7"/>
  <c r="T34" i="7"/>
  <c r="L34" i="7"/>
  <c r="AR32" i="7"/>
  <c r="AJ32" i="7"/>
  <c r="AB32" i="7"/>
  <c r="T32" i="7"/>
  <c r="L32" i="7"/>
  <c r="AR30" i="7"/>
  <c r="AJ30" i="7"/>
  <c r="AB30" i="7"/>
  <c r="T30" i="7"/>
  <c r="L30" i="7"/>
  <c r="AR28" i="7"/>
  <c r="AJ28" i="7"/>
  <c r="AB28" i="7"/>
  <c r="T28" i="7"/>
  <c r="L28" i="7"/>
  <c r="AR26" i="7"/>
  <c r="AJ26" i="7"/>
  <c r="AB26" i="7"/>
  <c r="T26" i="7"/>
  <c r="L26" i="7"/>
  <c r="AR24" i="7"/>
  <c r="AJ24" i="7"/>
  <c r="AB24" i="7"/>
  <c r="T24" i="7"/>
  <c r="L24" i="7"/>
  <c r="AR22" i="7"/>
  <c r="AJ22" i="7"/>
  <c r="AB22" i="7"/>
  <c r="T22" i="7"/>
  <c r="L22" i="7"/>
  <c r="AR20" i="7"/>
  <c r="AJ20" i="7"/>
  <c r="AB20" i="7"/>
  <c r="T20" i="7"/>
  <c r="L20" i="7"/>
  <c r="AR18" i="7"/>
  <c r="AJ18" i="7"/>
  <c r="AB18" i="7"/>
  <c r="T18" i="7"/>
  <c r="L18" i="7"/>
  <c r="AR16" i="7"/>
  <c r="AJ16" i="7"/>
  <c r="AB16" i="7"/>
  <c r="T16" i="7"/>
  <c r="L16" i="7"/>
  <c r="AR14" i="7"/>
  <c r="AJ14" i="7"/>
  <c r="AB14" i="7"/>
  <c r="T14" i="7"/>
  <c r="L14" i="7"/>
  <c r="N25" i="12" l="1"/>
  <c r="N48" i="12"/>
  <c r="N19" i="12"/>
  <c r="N51" i="12"/>
  <c r="N65" i="12"/>
  <c r="N36" i="12"/>
  <c r="N13" i="12"/>
  <c r="N30" i="12"/>
  <c r="N60" i="12"/>
  <c r="N35" i="12"/>
  <c r="N53" i="12"/>
  <c r="N68" i="12"/>
  <c r="N14" i="12"/>
  <c r="N54" i="12"/>
  <c r="N15" i="12"/>
  <c r="N32" i="12"/>
  <c r="N5" i="12"/>
  <c r="N37" i="12"/>
  <c r="N58" i="12"/>
  <c r="L19" i="8"/>
  <c r="O3" i="12"/>
  <c r="N29" i="12"/>
  <c r="N6" i="12"/>
  <c r="N43" i="12"/>
  <c r="N66" i="12"/>
  <c r="N24" i="12"/>
  <c r="N38" i="12"/>
  <c r="N10" i="12"/>
  <c r="N18" i="12"/>
  <c r="N57" i="12"/>
  <c r="N64" i="12"/>
  <c r="N39" i="12"/>
  <c r="N22" i="12"/>
  <c r="N47" i="12"/>
  <c r="N26" i="12"/>
  <c r="N59" i="12"/>
  <c r="N52" i="12"/>
  <c r="AP10" i="7"/>
  <c r="T10" i="7"/>
  <c r="AB10" i="7"/>
  <c r="AJ10" i="7"/>
  <c r="AR10" i="7"/>
  <c r="N10" i="7"/>
  <c r="V10" i="7"/>
  <c r="AD10" i="7"/>
  <c r="AL10" i="7"/>
  <c r="P10" i="7"/>
  <c r="AF10" i="7"/>
  <c r="J10" i="7"/>
  <c r="Z10" i="7"/>
  <c r="L10" i="7"/>
  <c r="X10" i="7"/>
  <c r="AN10" i="7"/>
  <c r="R10" i="7"/>
  <c r="AH10" i="7"/>
  <c r="AP11" i="7"/>
  <c r="AH11" i="7"/>
  <c r="Z11" i="7"/>
  <c r="R11" i="7"/>
  <c r="J11" i="7"/>
  <c r="L11" i="7"/>
  <c r="AL11" i="7"/>
  <c r="V11" i="7"/>
  <c r="AR11" i="7"/>
  <c r="AJ11" i="7"/>
  <c r="AB11" i="7"/>
  <c r="T11" i="7"/>
  <c r="AD11" i="7"/>
  <c r="N11" i="7"/>
  <c r="AN11" i="7"/>
  <c r="AF11" i="7"/>
  <c r="X11" i="7"/>
  <c r="P11" i="7"/>
  <c r="J57" i="7"/>
  <c r="AL57" i="7"/>
  <c r="AD57" i="7"/>
  <c r="V57" i="7"/>
  <c r="N57" i="7"/>
  <c r="AH57" i="7"/>
  <c r="R57" i="7"/>
  <c r="L57" i="7"/>
  <c r="AP57" i="7"/>
  <c r="Z57" i="7"/>
  <c r="AN57" i="7"/>
  <c r="AF57" i="7"/>
  <c r="X57" i="7"/>
  <c r="P57" i="7"/>
  <c r="AJ57" i="7"/>
  <c r="T57" i="7"/>
  <c r="AR57" i="7"/>
  <c r="AB57" i="7"/>
  <c r="AP13" i="7"/>
  <c r="AH13" i="7"/>
  <c r="Z13" i="7"/>
  <c r="R13" i="7"/>
  <c r="J13" i="7"/>
  <c r="L13" i="7"/>
  <c r="AD13" i="7"/>
  <c r="N13" i="7"/>
  <c r="AR13" i="7"/>
  <c r="AJ13" i="7"/>
  <c r="AB13" i="7"/>
  <c r="T13" i="7"/>
  <c r="AL13" i="7"/>
  <c r="V13" i="7"/>
  <c r="AN13" i="7"/>
  <c r="AF13" i="7"/>
  <c r="X13" i="7"/>
  <c r="P13" i="7"/>
  <c r="L55" i="7"/>
  <c r="AP55" i="7"/>
  <c r="AH55" i="7"/>
  <c r="Z55" i="7"/>
  <c r="R55" i="7"/>
  <c r="J55" i="7"/>
  <c r="AL55" i="7"/>
  <c r="V55" i="7"/>
  <c r="AD55" i="7"/>
  <c r="N55" i="7"/>
  <c r="AR55" i="7"/>
  <c r="AN55" i="7"/>
  <c r="AJ55" i="7"/>
  <c r="AF55" i="7"/>
  <c r="AB55" i="7"/>
  <c r="X55" i="7"/>
  <c r="T55" i="7"/>
  <c r="P55" i="7"/>
  <c r="J56" i="7"/>
  <c r="AN56" i="7"/>
  <c r="AF56" i="7"/>
  <c r="X56" i="7"/>
  <c r="P56" i="7"/>
  <c r="AJ56" i="7"/>
  <c r="T56" i="7"/>
  <c r="AL56" i="7"/>
  <c r="AD56" i="7"/>
  <c r="V56" i="7"/>
  <c r="N56" i="7"/>
  <c r="AR56" i="7"/>
  <c r="AB56" i="7"/>
  <c r="L56" i="7"/>
  <c r="AP56" i="7"/>
  <c r="AH56" i="7"/>
  <c r="Z56" i="7"/>
  <c r="R56" i="7"/>
  <c r="J12" i="7"/>
  <c r="AN12" i="7"/>
  <c r="AF12" i="7"/>
  <c r="X12" i="7"/>
  <c r="P12" i="7"/>
  <c r="AJ12" i="7"/>
  <c r="T12" i="7"/>
  <c r="AP12" i="7"/>
  <c r="AL12" i="7"/>
  <c r="AD12" i="7"/>
  <c r="V12" i="7"/>
  <c r="N12" i="7"/>
  <c r="AR12" i="7"/>
  <c r="AB12" i="7"/>
  <c r="L12" i="7"/>
  <c r="AH12" i="7"/>
  <c r="Z12" i="7"/>
  <c r="R12" i="7"/>
  <c r="AR58" i="7"/>
  <c r="AJ58" i="7"/>
  <c r="AB58" i="7"/>
  <c r="T58" i="7"/>
  <c r="L58" i="7"/>
  <c r="AP58" i="7"/>
  <c r="AH58" i="7"/>
  <c r="AF58" i="7"/>
  <c r="P58" i="7"/>
  <c r="AL58" i="7"/>
  <c r="Z58" i="7"/>
  <c r="R58" i="7"/>
  <c r="J58" i="7"/>
  <c r="AN58" i="7"/>
  <c r="X58" i="7"/>
  <c r="AD58" i="7"/>
  <c r="V58" i="7"/>
  <c r="N58" i="7"/>
  <c r="O5" i="12" l="1"/>
  <c r="J5" i="12" s="1"/>
  <c r="O10" i="12"/>
  <c r="J10" i="12" s="1"/>
  <c r="O47" i="12"/>
  <c r="J47" i="12" s="1"/>
  <c r="O43" i="12"/>
  <c r="J43" i="12" s="1"/>
  <c r="O44" i="12"/>
  <c r="J44" i="12" s="1"/>
  <c r="O18" i="12"/>
  <c r="J18" i="12" s="1"/>
  <c r="O48" i="12"/>
  <c r="J48" i="12" s="1"/>
  <c r="O23" i="12"/>
  <c r="J23" i="12" s="1"/>
  <c r="O37" i="12"/>
  <c r="J37" i="12" s="1"/>
  <c r="O25" i="12"/>
  <c r="J25" i="12" s="1"/>
  <c r="O6" i="12"/>
  <c r="J6" i="12" s="1"/>
  <c r="O38" i="12"/>
  <c r="J38" i="12" s="1"/>
  <c r="O54" i="12"/>
  <c r="J54" i="12" s="1"/>
  <c r="O65" i="12"/>
  <c r="J65" i="12" s="1"/>
  <c r="O30" i="12"/>
  <c r="J30" i="12" s="1"/>
  <c r="O60" i="12"/>
  <c r="J60" i="12" s="1"/>
  <c r="O22" i="12"/>
  <c r="J22" i="12" s="1"/>
  <c r="O51" i="12"/>
  <c r="J51" i="12" s="1"/>
  <c r="O66" i="12"/>
  <c r="J66" i="12" s="1"/>
  <c r="O35" i="12"/>
  <c r="J35" i="12" s="1"/>
  <c r="G35" i="12" s="1"/>
  <c r="O53" i="12"/>
  <c r="J53" i="12" s="1"/>
  <c r="O64" i="12"/>
  <c r="J64" i="12" s="1"/>
  <c r="O29" i="12"/>
  <c r="J29" i="12" s="1"/>
  <c r="O57" i="12"/>
  <c r="J57" i="12" s="1"/>
  <c r="O24" i="12"/>
  <c r="J24" i="12" s="1"/>
  <c r="O59" i="12"/>
  <c r="J59" i="12" s="1"/>
  <c r="O4" i="12"/>
  <c r="J4" i="12" s="1"/>
  <c r="O39" i="12"/>
  <c r="J39" i="12" s="1"/>
  <c r="O26" i="12"/>
  <c r="J26" i="12" s="1"/>
  <c r="O52" i="12"/>
  <c r="J52" i="12" s="1"/>
  <c r="O63" i="12"/>
  <c r="J63" i="12" s="1"/>
  <c r="O15" i="12"/>
  <c r="J15" i="12" s="1"/>
  <c r="O32" i="12"/>
  <c r="J32" i="12" s="1"/>
  <c r="O68" i="12"/>
  <c r="J68" i="12" s="1"/>
  <c r="O19" i="12"/>
  <c r="J19" i="12" s="1"/>
  <c r="O7" i="12"/>
  <c r="J7" i="12" s="1"/>
  <c r="O42" i="12"/>
  <c r="J42" i="12" s="1"/>
  <c r="O58" i="12"/>
  <c r="J58" i="12" s="1"/>
  <c r="O14" i="12"/>
  <c r="J14" i="12" s="1"/>
  <c r="O31" i="12"/>
  <c r="J31" i="12" s="1"/>
  <c r="O13" i="12"/>
  <c r="J13" i="12" s="1"/>
  <c r="O36" i="12"/>
  <c r="J36" i="12" s="1"/>
  <c r="AV11" i="7"/>
  <c r="F35" i="12"/>
  <c r="AV56" i="7"/>
  <c r="AV58" i="7"/>
  <c r="AV12" i="7"/>
  <c r="AV13" i="7"/>
  <c r="X59" i="7"/>
  <c r="V59" i="7"/>
  <c r="V69" i="7" s="1"/>
  <c r="AV55" i="7"/>
  <c r="AV57" i="7"/>
  <c r="X69" i="7"/>
  <c r="T59" i="7"/>
  <c r="AB59" i="7"/>
  <c r="AB69" i="7" s="1"/>
  <c r="AJ59" i="7"/>
  <c r="AJ69" i="7" s="1"/>
  <c r="AR59" i="7"/>
  <c r="AR69" i="7" s="1"/>
  <c r="AD59" i="7"/>
  <c r="AD69" i="7" s="1"/>
  <c r="AL59" i="7"/>
  <c r="AL69" i="7" s="1"/>
  <c r="R59" i="7"/>
  <c r="R69" i="7" s="1"/>
  <c r="AH59" i="7"/>
  <c r="L59" i="7"/>
  <c r="L69" i="7" s="1"/>
  <c r="AH54" i="7"/>
  <c r="AN54" i="7"/>
  <c r="L54" i="7"/>
  <c r="Z54" i="7"/>
  <c r="AF54" i="7"/>
  <c r="AL54" i="7"/>
  <c r="V54" i="7"/>
  <c r="AR54" i="7"/>
  <c r="AB54" i="7"/>
  <c r="AB60" i="7" s="1"/>
  <c r="AB62" i="7" s="1"/>
  <c r="AP54" i="7"/>
  <c r="P59" i="7"/>
  <c r="P69" i="7" s="1"/>
  <c r="AF59" i="7"/>
  <c r="AF69" i="7" s="1"/>
  <c r="AN59" i="7"/>
  <c r="AN69" i="7" s="1"/>
  <c r="N59" i="7"/>
  <c r="N69" i="7" s="1"/>
  <c r="J59" i="7"/>
  <c r="Z59" i="7"/>
  <c r="AP59" i="7"/>
  <c r="R54" i="7"/>
  <c r="R60" i="7" s="1"/>
  <c r="R61" i="7" s="1"/>
  <c r="X54" i="7"/>
  <c r="X60" i="7" s="1"/>
  <c r="X62" i="7" s="1"/>
  <c r="AV10" i="7"/>
  <c r="J54" i="7"/>
  <c r="P54" i="7"/>
  <c r="AD54" i="7"/>
  <c r="N54" i="7"/>
  <c r="AJ54" i="7"/>
  <c r="T54" i="7"/>
  <c r="P60" i="7" l="1"/>
  <c r="P61" i="7" s="1"/>
  <c r="F43" i="12"/>
  <c r="G43" i="12"/>
  <c r="F18" i="12"/>
  <c r="G18" i="12"/>
  <c r="F47" i="12"/>
  <c r="G47" i="12"/>
  <c r="F36" i="12"/>
  <c r="G36" i="12"/>
  <c r="G58" i="12"/>
  <c r="F58" i="12"/>
  <c r="F68" i="12"/>
  <c r="G68" i="12"/>
  <c r="F52" i="12"/>
  <c r="G52" i="12"/>
  <c r="F59" i="12"/>
  <c r="G59" i="12"/>
  <c r="G64" i="12"/>
  <c r="F64" i="12"/>
  <c r="G51" i="12"/>
  <c r="F51" i="12"/>
  <c r="G65" i="12"/>
  <c r="F65" i="12"/>
  <c r="G25" i="12"/>
  <c r="F25" i="12"/>
  <c r="G10" i="12"/>
  <c r="F10" i="12"/>
  <c r="G22" i="12"/>
  <c r="F22" i="12"/>
  <c r="F14" i="12"/>
  <c r="G14" i="12"/>
  <c r="F19" i="12"/>
  <c r="G19" i="12"/>
  <c r="F63" i="12"/>
  <c r="G63" i="12"/>
  <c r="G4" i="12"/>
  <c r="F4" i="12"/>
  <c r="G29" i="12"/>
  <c r="F29" i="12"/>
  <c r="G66" i="12"/>
  <c r="F66" i="12"/>
  <c r="F30" i="12"/>
  <c r="G30" i="12"/>
  <c r="F6" i="12"/>
  <c r="G6" i="12"/>
  <c r="F48" i="12"/>
  <c r="G48" i="12"/>
  <c r="G31" i="12"/>
  <c r="F31" i="12"/>
  <c r="F7" i="12"/>
  <c r="G7" i="12"/>
  <c r="G15" i="12"/>
  <c r="F15" i="12"/>
  <c r="F39" i="12"/>
  <c r="G39" i="12"/>
  <c r="G57" i="12"/>
  <c r="F57" i="12"/>
  <c r="F60" i="12"/>
  <c r="G60" i="12"/>
  <c r="F38" i="12"/>
  <c r="G38" i="12"/>
  <c r="G23" i="12"/>
  <c r="F23" i="12"/>
  <c r="T60" i="7"/>
  <c r="T62" i="7" s="1"/>
  <c r="AT62" i="7" s="1"/>
  <c r="G13" i="12"/>
  <c r="F13" i="12"/>
  <c r="G42" i="12"/>
  <c r="F42" i="12"/>
  <c r="F32" i="12"/>
  <c r="G32" i="12"/>
  <c r="F26" i="12"/>
  <c r="G26" i="12"/>
  <c r="F24" i="12"/>
  <c r="G24" i="12"/>
  <c r="G53" i="12"/>
  <c r="F53" i="12"/>
  <c r="G54" i="12"/>
  <c r="F54" i="12"/>
  <c r="F37" i="12"/>
  <c r="G37" i="12"/>
  <c r="G44" i="12"/>
  <c r="F44" i="12"/>
  <c r="F5" i="12"/>
  <c r="G5" i="12"/>
  <c r="AR60" i="7"/>
  <c r="AR62" i="7" s="1"/>
  <c r="AH60" i="7"/>
  <c r="AH62" i="7" s="1"/>
  <c r="AL60" i="7"/>
  <c r="AL62" i="7" s="1"/>
  <c r="N60" i="7"/>
  <c r="N61" i="7" s="1"/>
  <c r="AJ60" i="7"/>
  <c r="AJ62" i="7" s="1"/>
  <c r="AD60" i="7"/>
  <c r="AD62" i="7" s="1"/>
  <c r="V60" i="7"/>
  <c r="V62" i="7" s="1"/>
  <c r="L60" i="7"/>
  <c r="L61" i="7" s="1"/>
  <c r="J60" i="7"/>
  <c r="AT54" i="7"/>
  <c r="AP67" i="7"/>
  <c r="AP69" i="7"/>
  <c r="AP70" i="7" s="1"/>
  <c r="J69" i="7"/>
  <c r="J67" i="7"/>
  <c r="AT59" i="7"/>
  <c r="AH69" i="7"/>
  <c r="AH70" i="7" s="1"/>
  <c r="AH67" i="7"/>
  <c r="AF60" i="7"/>
  <c r="AF62" i="7" s="1"/>
  <c r="Z69" i="7"/>
  <c r="Z70" i="7" s="1"/>
  <c r="Z67" i="7"/>
  <c r="T67" i="7"/>
  <c r="T69" i="7"/>
  <c r="R70" i="7" s="1"/>
  <c r="AP60" i="7"/>
  <c r="AP62" i="7" s="1"/>
  <c r="Z60" i="7"/>
  <c r="Z62" i="7" s="1"/>
  <c r="AN60" i="7"/>
  <c r="AN62" i="7" s="1"/>
  <c r="J70" i="7" l="1"/>
  <c r="AT69" i="7"/>
  <c r="J61" i="7"/>
  <c r="AT61" i="7" s="1"/>
  <c r="AT60" i="7"/>
  <c r="J63" i="7"/>
  <c r="R63" i="7"/>
  <c r="X63" i="7"/>
  <c r="AH63" i="7"/>
  <c r="AP63" i="7"/>
  <c r="AP65" i="7" s="1"/>
  <c r="AP66" i="7" s="1"/>
  <c r="AP71" i="7" s="1"/>
  <c r="M63" i="7"/>
  <c r="Q63" i="7"/>
  <c r="U63" i="7"/>
  <c r="Y63" i="7"/>
  <c r="AC63" i="7"/>
  <c r="AG63" i="7"/>
  <c r="AK63" i="7"/>
  <c r="AO63" i="7"/>
  <c r="L63" i="7"/>
  <c r="V63" i="7"/>
  <c r="AD63" i="7"/>
  <c r="AJ63" i="7"/>
  <c r="AR63" i="7"/>
  <c r="T63" i="7"/>
  <c r="AL63" i="7"/>
  <c r="O63" i="7"/>
  <c r="W63" i="7"/>
  <c r="AE63" i="7"/>
  <c r="AM63" i="7"/>
  <c r="P63" i="7"/>
  <c r="AF63" i="7"/>
  <c r="AF72" i="7" s="1"/>
  <c r="N63" i="7"/>
  <c r="AB63" i="7"/>
  <c r="K63" i="7"/>
  <c r="S63" i="7"/>
  <c r="AA63" i="7"/>
  <c r="AI63" i="7"/>
  <c r="AQ63" i="7"/>
  <c r="Z63" i="7"/>
  <c r="Z65" i="7" s="1"/>
  <c r="Z66" i="7" s="1"/>
  <c r="Z71" i="7" s="1"/>
  <c r="AN63" i="7"/>
  <c r="AN72" i="7" s="1"/>
  <c r="AT67" i="7"/>
  <c r="AF65" i="7" l="1"/>
  <c r="AF66" i="7" s="1"/>
  <c r="AN65" i="7"/>
  <c r="AN66" i="7" s="1"/>
  <c r="AQ72" i="7"/>
  <c r="AQ65" i="7"/>
  <c r="AQ66" i="7" s="1"/>
  <c r="AA72" i="7"/>
  <c r="AA65" i="7"/>
  <c r="AA66" i="7" s="1"/>
  <c r="K72" i="7"/>
  <c r="K65" i="7"/>
  <c r="K66" i="7" s="1"/>
  <c r="N72" i="7"/>
  <c r="N65" i="7"/>
  <c r="N66" i="7" s="1"/>
  <c r="P65" i="7"/>
  <c r="P66" i="7" s="1"/>
  <c r="P72" i="7"/>
  <c r="AE72" i="7"/>
  <c r="AE65" i="7"/>
  <c r="AE66" i="7" s="1"/>
  <c r="O72" i="7"/>
  <c r="O65" i="7"/>
  <c r="O66" i="7" s="1"/>
  <c r="T68" i="7"/>
  <c r="T72" i="7"/>
  <c r="T65" i="7"/>
  <c r="T66" i="7" s="1"/>
  <c r="AJ72" i="7"/>
  <c r="AJ65" i="7"/>
  <c r="AJ66" i="7" s="1"/>
  <c r="V72" i="7"/>
  <c r="V65" i="7"/>
  <c r="V66" i="7" s="1"/>
  <c r="AO65" i="7"/>
  <c r="AO66" i="7" s="1"/>
  <c r="AO72" i="7"/>
  <c r="AG65" i="7"/>
  <c r="AG66" i="7" s="1"/>
  <c r="AG72" i="7"/>
  <c r="Y65" i="7"/>
  <c r="Y66" i="7" s="1"/>
  <c r="Y72" i="7"/>
  <c r="Q65" i="7"/>
  <c r="Q66" i="7" s="1"/>
  <c r="Q72" i="7"/>
  <c r="AP72" i="7"/>
  <c r="AP68" i="7"/>
  <c r="X72" i="7"/>
  <c r="X65" i="7"/>
  <c r="X66" i="7" s="1"/>
  <c r="J72" i="7"/>
  <c r="AT72" i="7" s="1"/>
  <c r="J68" i="7"/>
  <c r="AT68" i="7" s="1"/>
  <c r="J65" i="7"/>
  <c r="AT70" i="7"/>
  <c r="Z72" i="7"/>
  <c r="Z68" i="7"/>
  <c r="AI72" i="7"/>
  <c r="AI65" i="7"/>
  <c r="AI66" i="7" s="1"/>
  <c r="S72" i="7"/>
  <c r="S65" i="7"/>
  <c r="S66" i="7" s="1"/>
  <c r="AB72" i="7"/>
  <c r="AB65" i="7"/>
  <c r="AB66" i="7" s="1"/>
  <c r="AM72" i="7"/>
  <c r="AM65" i="7"/>
  <c r="AM66" i="7" s="1"/>
  <c r="W72" i="7"/>
  <c r="W65" i="7"/>
  <c r="W66" i="7" s="1"/>
  <c r="AL72" i="7"/>
  <c r="AL65" i="7"/>
  <c r="AL66" i="7" s="1"/>
  <c r="AR72" i="7"/>
  <c r="AR65" i="7"/>
  <c r="AR66" i="7" s="1"/>
  <c r="AD72" i="7"/>
  <c r="AD65" i="7"/>
  <c r="AD66" i="7" s="1"/>
  <c r="L65" i="7"/>
  <c r="L66" i="7" s="1"/>
  <c r="L72" i="7"/>
  <c r="AK65" i="7"/>
  <c r="AK66" i="7" s="1"/>
  <c r="AK72" i="7"/>
  <c r="AC65" i="7"/>
  <c r="AC66" i="7" s="1"/>
  <c r="AC72" i="7"/>
  <c r="U65" i="7"/>
  <c r="U66" i="7" s="1"/>
  <c r="U72" i="7"/>
  <c r="M65" i="7"/>
  <c r="M66" i="7" s="1"/>
  <c r="M72" i="7"/>
  <c r="AH68" i="7"/>
  <c r="AH72" i="7"/>
  <c r="AH65" i="7"/>
  <c r="AH66" i="7" s="1"/>
  <c r="AH71" i="7" s="1"/>
  <c r="R72" i="7"/>
  <c r="R65" i="7"/>
  <c r="R66" i="7" s="1"/>
  <c r="R71" i="7" s="1"/>
  <c r="J66" i="7" l="1"/>
  <c r="AT65" i="7"/>
  <c r="AT66" i="7" l="1"/>
  <c r="J71" i="7"/>
  <c r="AT71" i="7" s="1"/>
  <c r="D18" i="16" l="1"/>
  <c r="D17" i="16" l="1"/>
  <c r="D16" i="16" l="1"/>
  <c r="D19" i="16" l="1"/>
  <c r="G16" i="16" s="1"/>
  <c r="D15" i="20" l="1"/>
  <c r="D18" i="20" s="1"/>
  <c r="C15" i="20"/>
  <c r="G17" i="16"/>
  <c r="Q23" i="5"/>
  <c r="S23" i="5" s="1"/>
  <c r="N21" i="21" s="1"/>
  <c r="G15" i="16"/>
  <c r="G18" i="16"/>
  <c r="K23" i="16"/>
  <c r="I31" i="16"/>
  <c r="J31" i="16" s="1"/>
  <c r="L18" i="16"/>
  <c r="M14" i="16"/>
  <c r="F16" i="20" l="1"/>
  <c r="E16" i="20"/>
  <c r="E18" i="20" s="1"/>
  <c r="F17" i="20"/>
  <c r="H17" i="20"/>
  <c r="H18" i="20" s="1"/>
  <c r="G17" i="20"/>
  <c r="G18" i="20" s="1"/>
  <c r="C14" i="20"/>
  <c r="C18" i="20" s="1"/>
  <c r="C19" i="20" s="1"/>
  <c r="D19" i="20" s="1"/>
  <c r="G19" i="16"/>
  <c r="E19" i="20" l="1"/>
  <c r="F18" i="20"/>
  <c r="F19" i="20" l="1"/>
  <c r="G19" i="20" s="1"/>
  <c r="H19" i="20" s="1"/>
</calcChain>
</file>

<file path=xl/sharedStrings.xml><?xml version="1.0" encoding="utf-8"?>
<sst xmlns="http://schemas.openxmlformats.org/spreadsheetml/2006/main" count="1098" uniqueCount="493">
  <si>
    <t>SERVIÇO: CAPTAÇÃO, TRATAMENTO, ADUÇÃO, RESERVAÇÃO E DISTRIBUIÇÃO</t>
  </si>
  <si>
    <t>OBRA: SISTEMA DE ABASTECIMENTO DE ÁGUA</t>
  </si>
  <si>
    <t>2 - Formas e desformas:</t>
  </si>
  <si>
    <t>2.1 - Forma plana em tábua de pinho, para fundações</t>
  </si>
  <si>
    <t>m²</t>
  </si>
  <si>
    <t>2.1.1 - Carpinteiro</t>
  </si>
  <si>
    <t>2.1.2 - Servente</t>
  </si>
  <si>
    <t>PLANILHA ORÇAMENTÁRIA - QUADRO RESUMO</t>
  </si>
  <si>
    <t>DISCRIÇÃO</t>
  </si>
  <si>
    <t>01</t>
  </si>
  <si>
    <t>02</t>
  </si>
  <si>
    <t>03</t>
  </si>
  <si>
    <t>04</t>
  </si>
  <si>
    <t>TOTAL DO ORÇAMENTO</t>
  </si>
  <si>
    <t>TOTAL</t>
  </si>
  <si>
    <t>Obs.: Este serviço é composta apenas por mão-de-obra e equipamentos</t>
  </si>
  <si>
    <t>2.1 - Saco de ráfia 50 x 80 cm</t>
  </si>
  <si>
    <t>2.2 - Cimento Portland CP 32 II comum</t>
  </si>
  <si>
    <t>sc</t>
  </si>
  <si>
    <t>Obs.: Todos os serviços referentes a movimento de terra são compostos</t>
  </si>
  <si>
    <t>apenas por mão-de-obra e equipamentos.</t>
  </si>
  <si>
    <t>1.3 - Brita 1</t>
  </si>
  <si>
    <t>1.4 - Brita 2</t>
  </si>
  <si>
    <t>2.1.1 - Prego (18 x 30)</t>
  </si>
  <si>
    <t>2.1.2 - Tábua em pinho de 3° - 30 x 2,5 cm</t>
  </si>
  <si>
    <t>2.1.3 - Pontalete 8 x 8 cm (em madeira de lei)</t>
  </si>
  <si>
    <t>2.1.4 - Sarrafo de pinho - 10 x 2,5 cm</t>
  </si>
  <si>
    <t>4.1.2 - Areia</t>
  </si>
  <si>
    <t>4.1.3 - Brita 1</t>
  </si>
  <si>
    <t>4.1.4 - Brita 2</t>
  </si>
  <si>
    <t>4.2.1 - Cimento Portland CP 32 II comum</t>
  </si>
  <si>
    <t>4.2.2 - Areia</t>
  </si>
  <si>
    <t>4.2.3 - Brita 1</t>
  </si>
  <si>
    <t>4.2.4 - Brita 2</t>
  </si>
  <si>
    <t>1.1 - Escora de eucalipto, sem tratamento, diâmetro mínimo = 12 cm</t>
  </si>
  <si>
    <t>TOTAL GERAL</t>
  </si>
  <si>
    <t>%</t>
  </si>
  <si>
    <t>T</t>
  </si>
  <si>
    <t>Meta</t>
  </si>
  <si>
    <t>Etapa</t>
  </si>
  <si>
    <t>Especificação</t>
  </si>
  <si>
    <t>Indicador Físico</t>
  </si>
  <si>
    <t>Duração</t>
  </si>
  <si>
    <t>Fase</t>
  </si>
  <si>
    <t>Unidade</t>
  </si>
  <si>
    <t>Início após liberação dos recursos</t>
  </si>
  <si>
    <t>Término após liberação dos recursos</t>
  </si>
  <si>
    <t>Construção do interceptor do córrego Caeté</t>
  </si>
  <si>
    <t>Estrutura de concreto e escoramento</t>
  </si>
  <si>
    <t>Materiais e equipamentos hidráulicos e serviços diversos</t>
  </si>
  <si>
    <t>Construção da ETE</t>
  </si>
  <si>
    <t>2.2.1</t>
  </si>
  <si>
    <t>2.2.2</t>
  </si>
  <si>
    <t>2.2.3</t>
  </si>
  <si>
    <t>2.3.1</t>
  </si>
  <si>
    <t>2.3.2</t>
  </si>
  <si>
    <t>Aterros e cortes</t>
  </si>
  <si>
    <t>2.4.1</t>
  </si>
  <si>
    <t>2.4.2</t>
  </si>
  <si>
    <t>2.4.3</t>
  </si>
  <si>
    <t>2.4.4</t>
  </si>
  <si>
    <t>2.4.5</t>
  </si>
  <si>
    <t>2.5.1</t>
  </si>
  <si>
    <t>2.5.2</t>
  </si>
  <si>
    <t>2.5.3</t>
  </si>
  <si>
    <t>2.5.4</t>
  </si>
  <si>
    <t>Materiais, equipamentos e serviços diversos</t>
  </si>
  <si>
    <t>2.6.1</t>
  </si>
  <si>
    <t>2.6.2</t>
  </si>
  <si>
    <t>2.6.3</t>
  </si>
  <si>
    <t>2.6.4</t>
  </si>
  <si>
    <t>2.6.5</t>
  </si>
  <si>
    <t>2.7.1</t>
  </si>
  <si>
    <t>2.7.2</t>
  </si>
  <si>
    <t>2.7.3</t>
  </si>
  <si>
    <t>2.8.1</t>
  </si>
  <si>
    <t>2.8.2</t>
  </si>
  <si>
    <t>2.9.1</t>
  </si>
  <si>
    <t>2.9.2</t>
  </si>
  <si>
    <t>2.9.3</t>
  </si>
  <si>
    <t>2.9.4</t>
  </si>
  <si>
    <t>2.10.1</t>
  </si>
  <si>
    <t>2.10.2</t>
  </si>
  <si>
    <t>2.10.3</t>
  </si>
  <si>
    <t>2.10.4</t>
  </si>
  <si>
    <t>Lançamentos de esgotos</t>
  </si>
  <si>
    <t>2.11.1</t>
  </si>
  <si>
    <t>2.11.2</t>
  </si>
  <si>
    <t>2.11.3</t>
  </si>
  <si>
    <t>2.11.4</t>
  </si>
  <si>
    <r>
      <t xml:space="preserve">1.0 - Construção do interceptor do córrego Caeté 
</t>
    </r>
    <r>
      <rPr>
        <sz val="10"/>
        <rFont val="Arial"/>
        <family val="2"/>
      </rPr>
      <t>1.1-Serviços preliminares</t>
    </r>
  </si>
  <si>
    <t>Totais</t>
  </si>
  <si>
    <t>Total menos contra-partida mão de obra do interceptor</t>
  </si>
  <si>
    <t>Primeira parcela CODEVASF</t>
  </si>
  <si>
    <t>Restante a liberar</t>
  </si>
  <si>
    <t>Segunda Liberação da Prefeitura</t>
  </si>
  <si>
    <t>Mão de obra interceptor = Primeira liberação da Prefeitura</t>
  </si>
  <si>
    <t>Segunda parcela CODEVASF</t>
  </si>
  <si>
    <t>Repasse</t>
  </si>
  <si>
    <t>Contrapartida</t>
  </si>
  <si>
    <t>Contrapartida 1</t>
  </si>
  <si>
    <t>Contrapartida 2</t>
  </si>
  <si>
    <t>Repasse 1 mês a mês</t>
  </si>
  <si>
    <t>Repasse 1 final</t>
  </si>
  <si>
    <t>Repasse 2</t>
  </si>
  <si>
    <t>GL</t>
  </si>
  <si>
    <t>PREFEITURA MUNICIPAL DE CAETÉ</t>
  </si>
  <si>
    <t>DBI</t>
  </si>
  <si>
    <t>TOTAL DO ÍTEM 01</t>
  </si>
  <si>
    <t>TOTAL SERVIÇO</t>
  </si>
  <si>
    <t>PLANILHA ORÇAMENTÁRIA - SERVIÇOS</t>
  </si>
  <si>
    <t>4.2 - Carga manual (material em geral) sem manuseio e arrumação do material</t>
  </si>
  <si>
    <t>4.2.1 - Servente</t>
  </si>
  <si>
    <t>4.2.2 - Caminhão basculante, capacidade 5 m³ (inclusive motorista)-H.Improd.</t>
  </si>
  <si>
    <t>4.3 - Transporte manual (terra, areia, entulho) distância até 100 m</t>
  </si>
  <si>
    <t>4.3.1 - Servente</t>
  </si>
  <si>
    <t>4.4 - Transporte local, em perímetro urbano (material em geral), a granel</t>
  </si>
  <si>
    <t>m³ x km</t>
  </si>
  <si>
    <t>4.4.1 - Caminhão basculante, capacidade 5 m³ (inclusive motorista)-H.Prod.</t>
  </si>
  <si>
    <t>4.5 - Espalhamento de solo em bota-fora</t>
  </si>
  <si>
    <t>4.5.1 - Trator de esteira, motor diesel, 140 HP, D6M</t>
  </si>
  <si>
    <t>ESTRUTURAS E CONCRETO</t>
  </si>
  <si>
    <t>1 - Broca de concreto (diâmetro = 30 cm), consumo mínimo de cimento</t>
  </si>
  <si>
    <t>150 kg/m³</t>
  </si>
  <si>
    <t>1.1 - Servente</t>
  </si>
  <si>
    <t>1.2 - Betoneira capacidade 320 L, motor diesel 7 HP</t>
  </si>
  <si>
    <t>2.4.3 - Estruturas de concreto</t>
  </si>
  <si>
    <t>2.4.4 - Materiais e equipamentos</t>
  </si>
  <si>
    <t>2.4.5 - Serviços diversos</t>
  </si>
  <si>
    <t>Estação elevatória</t>
  </si>
  <si>
    <t>Tratamento preliminar</t>
  </si>
  <si>
    <r>
      <t>2.5 - Tratamento preliminar</t>
    </r>
    <r>
      <rPr>
        <sz val="10"/>
        <rFont val="Arial"/>
        <family val="2"/>
      </rPr>
      <t xml:space="preserve">
2.5.1 - Serviços preliminares</t>
    </r>
  </si>
  <si>
    <t>2.5.2 - Fundações profundas</t>
  </si>
  <si>
    <t>2.5.3 - Estruturas de concreto</t>
  </si>
  <si>
    <t>2.5.4 - Materiais, equipamentos e serviços diversos</t>
  </si>
  <si>
    <t>Instalações preliminares</t>
  </si>
  <si>
    <t>Serviços preliminares</t>
  </si>
  <si>
    <t>Movimento de terra</t>
  </si>
  <si>
    <t>Tubulação e caixas</t>
  </si>
  <si>
    <t>Cortes e aterros</t>
  </si>
  <si>
    <t>Estruturas de concreto</t>
  </si>
  <si>
    <t>Materiais e equipamentos</t>
  </si>
  <si>
    <t>Serviços diversos</t>
  </si>
  <si>
    <t>Fundações profundas</t>
  </si>
  <si>
    <t>Leito filtrante</t>
  </si>
  <si>
    <t>Interligação geral</t>
  </si>
  <si>
    <t>Ligação interceptor</t>
  </si>
  <si>
    <t>Casa de operação</t>
  </si>
  <si>
    <t>Fundações</t>
  </si>
  <si>
    <t>Estruturas e alvenaria</t>
  </si>
  <si>
    <t>Instalações e acabamentos</t>
  </si>
  <si>
    <t>Lançamentos</t>
  </si>
  <si>
    <t>Tudo</t>
  </si>
  <si>
    <t>17º mês</t>
  </si>
  <si>
    <t>18º mês</t>
  </si>
  <si>
    <t>19º mês</t>
  </si>
  <si>
    <t>20º mês</t>
  </si>
  <si>
    <t>21º mês</t>
  </si>
  <si>
    <t>22º mês</t>
  </si>
  <si>
    <r>
      <t>2.6 - UASB</t>
    </r>
    <r>
      <rPr>
        <sz val="10"/>
        <rFont val="Arial"/>
        <family val="2"/>
      </rPr>
      <t xml:space="preserve">
2.6.1 - Serviços preliminares</t>
    </r>
  </si>
  <si>
    <t>2.6.2 - Fundações profundas</t>
  </si>
  <si>
    <t>2.6.3 - Estruturas de concreto</t>
  </si>
  <si>
    <t>2.6.4 - Materiais e equipamentos</t>
  </si>
  <si>
    <t>2.6.5 - Serviços diversos</t>
  </si>
  <si>
    <r>
      <t>2.7 - Leitos de secagem</t>
    </r>
    <r>
      <rPr>
        <sz val="10"/>
        <rFont val="Arial"/>
        <family val="2"/>
      </rPr>
      <t xml:space="preserve">
2.7.1 - Serviços preliminares</t>
    </r>
  </si>
  <si>
    <t>2.7.2 - Estruturas de concreto</t>
  </si>
  <si>
    <t>2.7.3 - Leito filtrante</t>
  </si>
  <si>
    <r>
      <t>2.8 - Interligação geral</t>
    </r>
    <r>
      <rPr>
        <sz val="10"/>
        <rFont val="Arial"/>
        <family val="2"/>
      </rPr>
      <t xml:space="preserve">
2.8.1 - Movimento de terra</t>
    </r>
  </si>
  <si>
    <t>2.8.2 - Materiais e equipamentos</t>
  </si>
  <si>
    <r>
      <t>2.9 - Ligação do interceptor</t>
    </r>
    <r>
      <rPr>
        <sz val="10"/>
        <rFont val="Arial"/>
        <family val="2"/>
      </rPr>
      <t xml:space="preserve">
2.9.1 - Serviços preliminares</t>
    </r>
  </si>
  <si>
    <t>2.9.2 - Movimento de terra</t>
  </si>
  <si>
    <t>2.9.3 - Estruturas de concreto</t>
  </si>
  <si>
    <t>2.9.4 - Materiais e equipamentos</t>
  </si>
  <si>
    <r>
      <t>2.10 - Casa de operação</t>
    </r>
    <r>
      <rPr>
        <sz val="10"/>
        <rFont val="Arial"/>
        <family val="2"/>
      </rPr>
      <t xml:space="preserve">
2.10.1 - Serviços preliminares</t>
    </r>
  </si>
  <si>
    <t>2.10.2 - Fundações</t>
  </si>
  <si>
    <t>2.10.3 - Estruturas e alvenaria</t>
  </si>
  <si>
    <t>2.10.4 - Instalações e acabamentos</t>
  </si>
  <si>
    <r>
      <t>2.11 - Lançamentos de esgotos</t>
    </r>
    <r>
      <rPr>
        <sz val="10"/>
        <rFont val="Arial"/>
        <family val="2"/>
      </rPr>
      <t xml:space="preserve">
2.11.1 - Serviços preliminares</t>
    </r>
  </si>
  <si>
    <t>2.11.2 - Movimento de terra</t>
  </si>
  <si>
    <t>2.11.3 - Estruturas de concreto</t>
  </si>
  <si>
    <t>2.11.4 - Materiais e equipamentos</t>
  </si>
  <si>
    <t>2.12 - Serviços diversos</t>
  </si>
  <si>
    <t>Ligação do interceptor</t>
  </si>
  <si>
    <t>2.1</t>
  </si>
  <si>
    <t>2.2</t>
  </si>
  <si>
    <t>2.3</t>
  </si>
  <si>
    <t>2.4</t>
  </si>
  <si>
    <t>2.5</t>
  </si>
  <si>
    <t>2.6</t>
  </si>
  <si>
    <t>ITEM</t>
  </si>
  <si>
    <t>1.3</t>
  </si>
  <si>
    <t>1.4</t>
  </si>
  <si>
    <t>2.7</t>
  </si>
  <si>
    <t>2.8</t>
  </si>
  <si>
    <t>2.9</t>
  </si>
  <si>
    <t>2.10</t>
  </si>
  <si>
    <t>2.11</t>
  </si>
  <si>
    <t>2.12</t>
  </si>
  <si>
    <t>INSTALAÇÕES PRELIMINARES E CANTEIRO DE OBRAS</t>
  </si>
  <si>
    <t>Quant</t>
  </si>
  <si>
    <t>Total</t>
  </si>
  <si>
    <t>DISCRIMINAÇÃO</t>
  </si>
  <si>
    <t>MINAS GERAIS - CEP: 34.800-000</t>
  </si>
  <si>
    <t>CONSTRUÇÃO DE ESTAÇÃO DE TRATAMENTO E INTERCEPTOR DE ESGOTO</t>
  </si>
  <si>
    <r>
      <t>5 - FONTES E USOS:</t>
    </r>
    <r>
      <rPr>
        <b/>
        <sz val="10"/>
        <rFont val="Arial"/>
        <family val="2"/>
      </rPr>
      <t xml:space="preserve"> CODEVASF</t>
    </r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</si>
  <si>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</si>
  <si>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</si>
  <si>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</si>
  <si>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</si>
  <si>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</si>
  <si>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</si>
  <si>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</si>
  <si>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</si>
  <si>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</si>
  <si>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</si>
  <si>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</si>
  <si>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</si>
  <si>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13º mês</t>
  </si>
  <si>
    <t>14º mês</t>
  </si>
  <si>
    <t>15º mês</t>
  </si>
  <si>
    <t>16º mês</t>
  </si>
  <si>
    <t>USOS
(Grandes itens)</t>
  </si>
  <si>
    <t>R$</t>
  </si>
  <si>
    <t>PROCESSO LICITATÓRIO</t>
  </si>
  <si>
    <t>LOCALIDADE</t>
  </si>
  <si>
    <t xml:space="preserve">  FOLHA:</t>
  </si>
  <si>
    <t>CAETÉ / MG - Plano Diretor de Esgotos</t>
  </si>
  <si>
    <t>RESUMO GERAL</t>
  </si>
  <si>
    <t>ÍTEM</t>
  </si>
  <si>
    <t>DESCRIÇÃO</t>
  </si>
  <si>
    <t>UNID.</t>
  </si>
  <si>
    <t>OBRAS E MATERIAIS</t>
  </si>
  <si>
    <t>INTERCEPTOR CÓRREGO CAETÉ - MARGEM DIREITA</t>
  </si>
  <si>
    <t>Custos referentes a mão-de-obra e equipamentos</t>
  </si>
  <si>
    <t>gl</t>
  </si>
  <si>
    <t>Custos referentes a materiais</t>
  </si>
  <si>
    <t>Observações:</t>
  </si>
  <si>
    <t>1 - O custo relativo a bonificação e despesas indiretas já esta incluso nos preços.</t>
  </si>
  <si>
    <t>2- Os custos referentes a locação de eixo em áreas não planejadas e a todos os ítens</t>
  </si>
  <si>
    <t>de movimeno de terra são compostos apenas por mão-de-obra e equipamentos.</t>
  </si>
  <si>
    <t>DESCRIÇÃO E QUANTITATIVOS POR:</t>
  </si>
  <si>
    <t xml:space="preserve">   PREÇOS POR:(CARIMBO/RUBRICA)</t>
  </si>
  <si>
    <t xml:space="preserve"> SETOR RESPONSÁVEL:</t>
  </si>
  <si>
    <t xml:space="preserve">  OBSERVAÇÕES:</t>
  </si>
  <si>
    <t>LOCALIDADE:</t>
  </si>
  <si>
    <t>FOLHA</t>
  </si>
  <si>
    <t>CAETÉ - MG Plano Diretor de Esgotos</t>
  </si>
  <si>
    <t>OBRA / SERVIÇO UNIDADE DO SISTEMA</t>
  </si>
  <si>
    <t>DATA BASE</t>
  </si>
  <si>
    <t>QUANTIDADE</t>
  </si>
  <si>
    <t>PREÇO UNITÁRIO</t>
  </si>
  <si>
    <t>VALOR TOTAL</t>
  </si>
  <si>
    <t>1.1</t>
  </si>
  <si>
    <t>SERVIÇOS PRELIMINARES</t>
  </si>
  <si>
    <t>1 - Locação de eixo em áreas não planejadas</t>
  </si>
  <si>
    <t>m</t>
  </si>
  <si>
    <t>1.1 - Eng. Agrimensor Senior</t>
  </si>
  <si>
    <t>mês</t>
  </si>
  <si>
    <t>1.2 - Auxiliar de topografia</t>
  </si>
  <si>
    <t>1.3 - Estação total TOPCON GTS-212 ou similar</t>
  </si>
  <si>
    <t>1.4 - Conjunto de equipamentos complementares(trena,baliza,mira e etc.)</t>
  </si>
  <si>
    <t>2 - Ensecadeira (rip-rap) em solo cimento, traço 1:10</t>
  </si>
  <si>
    <t>m³</t>
  </si>
  <si>
    <t>2.1 - Pedreiro</t>
  </si>
  <si>
    <t>h</t>
  </si>
  <si>
    <t>2.2 - Servente</t>
  </si>
  <si>
    <t>MOVIMENTO DE TERRA</t>
  </si>
  <si>
    <t>1 - Escavação manual de valas, em solo seco:</t>
  </si>
  <si>
    <t>1.1 - Profundidade até 1,50 m</t>
  </si>
  <si>
    <t>1.1.1 - Servente</t>
  </si>
  <si>
    <t>2 - Escavação manual de valas, em solo com água:</t>
  </si>
  <si>
    <t>2.1 - Profundidade até 1,50 m</t>
  </si>
  <si>
    <t>2.1.1 - Servente</t>
  </si>
  <si>
    <t>2.2 - Profundidade maior que 1,50 m até 3,00 m</t>
  </si>
  <si>
    <t>2.2.1 - Servente</t>
  </si>
  <si>
    <t>DESCRIÇÃO E QUANTITATIVOS POR</t>
  </si>
  <si>
    <t>PREÇOS POR (CARIMBO/RUBRICA)</t>
  </si>
  <si>
    <t>SETOR RESPONSÁVEL</t>
  </si>
  <si>
    <t>OBSERVAÇÕES</t>
  </si>
  <si>
    <t xml:space="preserve">3. Aterro de valas, com controle do grau de compactação de no mínimo 95% </t>
  </si>
  <si>
    <t>do proctor normal</t>
  </si>
  <si>
    <t>3.1 - Servente</t>
  </si>
  <si>
    <t>3.2 - Ensaio Hilf</t>
  </si>
  <si>
    <t>u</t>
  </si>
  <si>
    <t>3.3 - Compactador manual de solos, motor gasolina</t>
  </si>
  <si>
    <t>3.4 - Caminhão tanque 10.000 l, motor diesel</t>
  </si>
  <si>
    <t>Leitos de secagem</t>
  </si>
  <si>
    <t>1.1 - Cimento Portland CP 32 II comum</t>
  </si>
  <si>
    <t>1.2 - Areia</t>
  </si>
  <si>
    <t>2.1.5 - Desmoldante para formas</t>
  </si>
  <si>
    <t>l</t>
  </si>
  <si>
    <t>2.2.1 - Prego (18 x 30)</t>
  </si>
  <si>
    <t>2.2.2 - Madeirit 2,20 x 1,10 m - E = 14 mm (resinado)</t>
  </si>
  <si>
    <t>2.2.3 - Pontalete 8 x 8 cm (em madeira de lei)</t>
  </si>
  <si>
    <t>2.2.4 - Sarrafo de pinho - 10 x 2,5 cm</t>
  </si>
  <si>
    <t>2.2.5 - Desmoldante para formas</t>
  </si>
  <si>
    <t>2.3.1 - Prego (18 x 30)</t>
  </si>
  <si>
    <t>2.3.2 - Tábua em pinho de 3° - 30 x 2,5 cm</t>
  </si>
  <si>
    <t>2.3.3 - Pontalete 8 x 8 cm (em madeira de lei)</t>
  </si>
  <si>
    <t>2.3.4 - Sarrafo de pinho - 10 x 2,5 cm</t>
  </si>
  <si>
    <t>2.3.5 - Madeirit 2,20 x 1,10 m - E = 6 mm</t>
  </si>
  <si>
    <t>2.3.6 - Madeirit 2,20 x 1,10 m - E = 14 mm (resinado)</t>
  </si>
  <si>
    <t>3.1 - Aço CA-50 A ou B</t>
  </si>
  <si>
    <t>4.1.1 - Cimento Portland CP 32 II comum</t>
  </si>
  <si>
    <t>1.2 - Pranchão - 30 x 4 cm - em madeira de lei</t>
  </si>
  <si>
    <t>1.3 - Viga em madeira de lei - 15 x 7,5 cm</t>
  </si>
  <si>
    <t>1.4 - Prego (18 x 30)</t>
  </si>
  <si>
    <t>1.1.1 - Tubo de PVC, PB, JE, fabricado conforme NBR 7362 - DN 350 mm</t>
  </si>
  <si>
    <t>1.2.1 - Tubo de PVC, PB, JE, fabricado conforme NBR 7362 - DN 400 mm</t>
  </si>
  <si>
    <t>2.1.1 - Tubo de concreto armado centrifugado, JE PB EA2 (Esgoto armado)</t>
  </si>
  <si>
    <t>fabricado conforme NBR 8890, DN 500 mm</t>
  </si>
  <si>
    <t>1.3 - Tampão de ferro fundido DN 600</t>
  </si>
  <si>
    <t>TOTAL DO ÍTEM 1.2</t>
  </si>
  <si>
    <t>01.</t>
  </si>
  <si>
    <t>4.2.4 - Vibrador de imersão, motor a gasolina 5 HP</t>
  </si>
  <si>
    <t>ESCORAMENTO</t>
  </si>
  <si>
    <t>1.1 - Carpinteiro</t>
  </si>
  <si>
    <t>1.2 - Auxiliar de oficial</t>
  </si>
  <si>
    <t>1.3 - Servente</t>
  </si>
  <si>
    <t>1.4 - Retro escavadeira, motor diesel 74 HP, capacidade da caçamba 0.3 m³</t>
  </si>
  <si>
    <t>MATERIAIS E EQUIPAMENTOS HIDRÁULICOS</t>
  </si>
  <si>
    <t>1 - Tubos de PVC, ponta e bolsa, JE para coletores de esgoto com anel de</t>
  </si>
  <si>
    <t>borracha, fabricado conforme NBR 7362 - Fornecimento e assentamento:</t>
  </si>
  <si>
    <t>1.1 - Diâmetro = 350 mm</t>
  </si>
  <si>
    <t>1.1.1 - Bombeiro</t>
  </si>
  <si>
    <t>1.1.2 - Auxiliar de oficial</t>
  </si>
  <si>
    <t>1.2 - Diâmetro = 400 mm</t>
  </si>
  <si>
    <t>1.2.1 - Bombeiro</t>
  </si>
  <si>
    <t>1.2.2 - Auxiliar de oficial</t>
  </si>
  <si>
    <t>2 - Tubo de concreto armado centrifugado, JE PB EA2 (Esgoto armado) fabri-</t>
  </si>
  <si>
    <t>cado conforme NBR 8890, DN 500 mm - Fornecimento e assentamento</t>
  </si>
  <si>
    <t>2.1 - Bombeiro</t>
  </si>
  <si>
    <t>2.2 - Auxiliar de oficial</t>
  </si>
  <si>
    <t>SERVIÇOS DIVERSOS</t>
  </si>
  <si>
    <t>1 - Tampão de ferro fundido DN 600 mm - Fornecimento e assentamento</t>
  </si>
  <si>
    <t>un</t>
  </si>
  <si>
    <t>1.1 - Pedreiro</t>
  </si>
  <si>
    <t>1.2 - Servente</t>
  </si>
  <si>
    <t>TOTAL DO ÍTEM 1.1</t>
  </si>
  <si>
    <t>1.2</t>
  </si>
  <si>
    <t>UASB</t>
  </si>
  <si>
    <r>
      <t xml:space="preserve"> </t>
    </r>
    <r>
      <rPr>
        <vertAlign val="superscript"/>
        <sz val="10"/>
        <rFont val="Arial"/>
        <family val="2"/>
      </rPr>
      <t xml:space="preserve"> DATA BASE:</t>
    </r>
  </si>
  <si>
    <r>
      <t xml:space="preserve"> </t>
    </r>
    <r>
      <rPr>
        <vertAlign val="superscript"/>
        <sz val="10"/>
        <rFont val="Arial"/>
        <family val="2"/>
      </rPr>
      <t>OBRA / SERVIÇO - UNIDADE DO SISTEMA:</t>
    </r>
  </si>
  <si>
    <r>
      <t xml:space="preserve"> </t>
    </r>
    <r>
      <rPr>
        <vertAlign val="superscript"/>
        <sz val="10"/>
        <rFont val="Arial"/>
        <family val="2"/>
      </rPr>
      <t>DATA:</t>
    </r>
  </si>
  <si>
    <r>
      <t xml:space="preserve">1 - </t>
    </r>
    <r>
      <rPr>
        <sz val="10"/>
        <rFont val="Arial"/>
        <family val="2"/>
      </rPr>
      <t>Estrutura de escoramento contínua</t>
    </r>
  </si>
  <si>
    <t>CRONOGRAMA FÍSICO-FINANCEIRO</t>
  </si>
  <si>
    <t>1.2 - Movimento de terra</t>
  </si>
  <si>
    <t>1.3 - Estrutura de concreto e escoramento</t>
  </si>
  <si>
    <t>1.4 - Materiais e equipamentos hidráulicos e Serviços diversos</t>
  </si>
  <si>
    <t>Drenagem</t>
  </si>
  <si>
    <t>2.2.3 - Tubulação e caixas</t>
  </si>
  <si>
    <t>2.2.2 - Movimento de terra</t>
  </si>
  <si>
    <t>2.3.2 - Aterros e cortes</t>
  </si>
  <si>
    <r>
      <t>2.2 - Drenagem</t>
    </r>
    <r>
      <rPr>
        <sz val="10"/>
        <rFont val="Arial"/>
        <family val="2"/>
      </rPr>
      <t xml:space="preserve">
2.2.1 - Serviços preliminares</t>
    </r>
  </si>
  <si>
    <r>
      <t>2.0 - Construção da ETE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</rPr>
      <t>2.1 - Instalações preliminares</t>
    </r>
  </si>
  <si>
    <r>
      <t>2.3 - Terraplenagem</t>
    </r>
    <r>
      <rPr>
        <sz val="10"/>
        <rFont val="Arial"/>
        <family val="2"/>
      </rPr>
      <t xml:space="preserve">
2.3.1 - Serviços preliminares</t>
    </r>
  </si>
  <si>
    <t>Terraplenagem</t>
  </si>
  <si>
    <r>
      <t>2.4 - Estação elevatória</t>
    </r>
    <r>
      <rPr>
        <sz val="10"/>
        <rFont val="Arial"/>
        <family val="2"/>
      </rPr>
      <t xml:space="preserve">
2.4.1 - Serviços preliminares</t>
    </r>
  </si>
  <si>
    <t>2.4.2 - Movimento de terra</t>
  </si>
  <si>
    <t>2.2 - Forma plana em chapa de madeira compensada, para estruturas</t>
  </si>
  <si>
    <t>2.2.1 - Carpinteiro</t>
  </si>
  <si>
    <t>2.2.2 - Servente</t>
  </si>
  <si>
    <t>2.3 - Forma curva em chapa de madeira compensada resinada, E=10 mm,</t>
  </si>
  <si>
    <t>para estruturas</t>
  </si>
  <si>
    <t>2.3.1 - Carpinteiro</t>
  </si>
  <si>
    <t>2.3.2 - Servente</t>
  </si>
  <si>
    <t>3 – Fornecimento e colocação de armadura de aço</t>
  </si>
  <si>
    <t>kg</t>
  </si>
  <si>
    <t>3.1 - Armador</t>
  </si>
  <si>
    <t>3.2 - Auxiliar de oficial</t>
  </si>
  <si>
    <t>4 - Concreto - Preparo, transporte, lançamento e adensamento:</t>
  </si>
  <si>
    <t>4.1 - Concreto estrutural (fck = 20 MPa)</t>
  </si>
  <si>
    <t>4.1.1 - Pedreiro</t>
  </si>
  <si>
    <t>4.1.2 - Servente</t>
  </si>
  <si>
    <t>4.1.3 - Betoneira capacidade 320 L, motor diesel 7 HP</t>
  </si>
  <si>
    <t>4.1.4 - Vibrador de imersão, motor a gasolina 5 HP</t>
  </si>
  <si>
    <t>4.2 - Concreto estrutural (fck = 40 MPa)</t>
  </si>
  <si>
    <t>4.2.1 - Pedreiro</t>
  </si>
  <si>
    <t>4.2.2 - Servente</t>
  </si>
  <si>
    <t>4.2.3 - Betoneira capacidade 320 L, motor diesel 7 HP</t>
  </si>
  <si>
    <t>QUANT.</t>
  </si>
  <si>
    <t>4 - Empréstimo e bota-fora:</t>
  </si>
  <si>
    <t>4.1 - Escavação e carga de material de 1° categoria</t>
  </si>
  <si>
    <t>4.1.1 - Servente</t>
  </si>
  <si>
    <t>4.1.2 - Trator de esteira, motor diesel, 140 HP, D6M</t>
  </si>
  <si>
    <t>UN.</t>
  </si>
  <si>
    <t>COD</t>
  </si>
  <si>
    <t>SINAPI</t>
  </si>
  <si>
    <t>PREÇO</t>
  </si>
  <si>
    <t>PREÇO S/ BDI</t>
  </si>
  <si>
    <t>PREÇO C/ BDI</t>
  </si>
  <si>
    <t>PLANILHA ORÇAMENTÁRIA</t>
  </si>
  <si>
    <t>PREFEITURA MUNICIPAL DE SÃO JOÃO DA LAGOA</t>
  </si>
  <si>
    <t>Quantidade</t>
  </si>
  <si>
    <t>COMPONENTES BDI SERVIÇOS</t>
  </si>
  <si>
    <t>Valores de Referência - Componentes do BDI</t>
  </si>
  <si>
    <t>1º Quartil</t>
  </si>
  <si>
    <t>Médio</t>
  </si>
  <si>
    <t>3º Quartil</t>
  </si>
  <si>
    <t>AC</t>
  </si>
  <si>
    <t>Administração Central</t>
  </si>
  <si>
    <t>DF</t>
  </si>
  <si>
    <t>Despesas Financeiras</t>
  </si>
  <si>
    <t>R</t>
  </si>
  <si>
    <t>Risco</t>
  </si>
  <si>
    <t>Garantia e Seguros</t>
  </si>
  <si>
    <t>GS</t>
  </si>
  <si>
    <t>L</t>
  </si>
  <si>
    <t>Lucro</t>
  </si>
  <si>
    <t>I</t>
  </si>
  <si>
    <t>ISS                                                                                                 (*)</t>
  </si>
  <si>
    <t>Sem CPRB</t>
  </si>
  <si>
    <t>COFINS</t>
  </si>
  <si>
    <t>BDI Total</t>
  </si>
  <si>
    <t>PIS</t>
  </si>
  <si>
    <t>CPRB</t>
  </si>
  <si>
    <t>Com CPRB</t>
  </si>
  <si>
    <t>COMPONENTES BDI MATERIAIS E EQUIPAMENTOS</t>
  </si>
  <si>
    <t>BDI SERVIÇOS = 29,9 %</t>
  </si>
  <si>
    <t>BDI MATERIAL = 18,81%</t>
  </si>
  <si>
    <t>PLACA DE OBRA</t>
  </si>
  <si>
    <t>COMUNIDADE BOA VISTA DO PACUÍ</t>
  </si>
  <si>
    <t xml:space="preserve">COMUNIDADE SANTA LÚZIA </t>
  </si>
  <si>
    <t>DISTRITO SÃO ROBERTO DE MINAS</t>
  </si>
  <si>
    <t>CRONOGRAMA FISICO FINANCEIRO DO SISTEMA DE ABASTECIMENTO DE ÁGUA</t>
  </si>
  <si>
    <t>SERVIÇO/PRODUTO</t>
  </si>
  <si>
    <t>MESES DE EXECUÇÃO</t>
  </si>
  <si>
    <t>1 MÊS</t>
  </si>
  <si>
    <t>2 MÊS</t>
  </si>
  <si>
    <t>3 MÊS</t>
  </si>
  <si>
    <t>DESEMBOLSO MENSAL</t>
  </si>
  <si>
    <t>DESEMBOLSO ACUMULADO</t>
  </si>
  <si>
    <t>4 MÊS</t>
  </si>
  <si>
    <t>5 MÊS</t>
  </si>
  <si>
    <t>6 MÊS</t>
  </si>
  <si>
    <t>Júnia Maria Gonçalves Caetano</t>
  </si>
  <si>
    <t>CREA MG 210.931/D</t>
  </si>
  <si>
    <t>___________________________________________________</t>
  </si>
  <si>
    <t>________________________________________</t>
  </si>
  <si>
    <t>Carlos Alberto Mota Dias</t>
  </si>
  <si>
    <t>Prefeito Municipal</t>
  </si>
  <si>
    <t>Engenheira Civil</t>
  </si>
  <si>
    <t>________________________________________________</t>
  </si>
  <si>
    <t>REFERÊNCIA = JULHO/2021</t>
  </si>
  <si>
    <t>02.</t>
  </si>
  <si>
    <t>ADMINISTRAÇÃO LOCAL</t>
  </si>
  <si>
    <t>TOTAL DO ÍTEM 02</t>
  </si>
  <si>
    <t>7.01</t>
  </si>
  <si>
    <t>ENGENHEIRO CIVIL DE OBRA PLENO</t>
  </si>
  <si>
    <t>H</t>
  </si>
  <si>
    <t>7.02</t>
  </si>
  <si>
    <t>MESTRE DE OBRAS</t>
  </si>
  <si>
    <t>7.03</t>
  </si>
  <si>
    <t>VIGIA NOTURNO, HORA EFETIVAMENTE TRABALHADA DE 22 H AS 5 H</t>
  </si>
  <si>
    <t>4417</t>
  </si>
  <si>
    <t>SARRAFO DE MADEIRA NAO APARELHADA *2,5 X 7* CM, MACARANDUBA, ANGELIM OU EQUIVALENTE DA REGIAO</t>
  </si>
  <si>
    <t>M</t>
  </si>
  <si>
    <t>4491</t>
  </si>
  <si>
    <t>PONTALETE DE MADEIRA NAO APARELHADA *7,5 X 7,5* CM (3 X 3 ") PINUS, MISTA OU EQUIVALENTE DA REGIAO</t>
  </si>
  <si>
    <t>4813</t>
  </si>
  <si>
    <t>PLACA DE OBRA (PARA CONSTRUCAO CIVIL) EM CHAPA GALVANIZADA *N. 22*, DE *2,0 X 1,125* M</t>
  </si>
  <si>
    <t>M2</t>
  </si>
  <si>
    <t>5075</t>
  </si>
  <si>
    <t>PREGO DE ACO POLIDO COM CABECA 18 X 30 (2 3/4 X 10)</t>
  </si>
  <si>
    <t>KG</t>
  </si>
  <si>
    <t>88262</t>
  </si>
  <si>
    <t>CARPINTEIRO DE FORMAS COM ENCARGOS COMPLEMENTARES</t>
  </si>
  <si>
    <t>88316</t>
  </si>
  <si>
    <t>SERVENTE COM ENCARGOS COMPLEMENTARES</t>
  </si>
  <si>
    <t>94962</t>
  </si>
  <si>
    <t>CONCRETO MAGRO PARA LASTRO, TRAÇO 1:4,5:4,5 (CIMENTO/ AREIA MÉDIA/ BRITA 1)  - PREPARO MECÂNICO COM BETONEIRA 400 L. AF_07/2016</t>
  </si>
  <si>
    <t>M3</t>
  </si>
  <si>
    <t>1.01</t>
  </si>
  <si>
    <t>1.02</t>
  </si>
  <si>
    <t>1.03</t>
  </si>
  <si>
    <t>1.04</t>
  </si>
  <si>
    <t>1.05</t>
  </si>
  <si>
    <t>1.06</t>
  </si>
  <si>
    <t>1.07</t>
  </si>
  <si>
    <t xml:space="preserve">                                              Ministério da Saúde</t>
  </si>
  <si>
    <t xml:space="preserve">                                              Fundação Nacional de Saúde</t>
  </si>
  <si>
    <t xml:space="preserve">                     Abastecimento de Água em Áreas Especiais - "Comunidades Rurais"</t>
  </si>
  <si>
    <t>PLANILHA ORÇAMENTÁRIA - COMPOSIÇÃO DE CUSTOS</t>
  </si>
  <si>
    <t>CÓD. SINAPI</t>
  </si>
  <si>
    <t>PREÇO TOTAL</t>
  </si>
  <si>
    <t>C.C.01</t>
  </si>
  <si>
    <t>___________________________________</t>
  </si>
  <si>
    <t>JÚNIA MARIA GONÇALVES CAETANO</t>
  </si>
  <si>
    <t>CARLOS ALBERTO MOTA DIAS</t>
  </si>
  <si>
    <t>PREFEITO MUNICIPAL</t>
  </si>
  <si>
    <t>COMUNIDADES BOA VISTA DO PACUÍ, SANTA LÚZIA E SÃO ROBERTO DE MINAS - SÃO JOÃO DA LAGOA (MG)</t>
  </si>
  <si>
    <t xml:space="preserve">PLACA DE OBRA EM CHAPA DE ACO GALVANIZADO 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</si>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</sst>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(* #,##0.00_);_(* \(#,##0.00\);_(* &quot;-&quot;??_);_(@_)"/>
    <numFmt numFmtId="165" formatCode="00"/>
    <numFmt numFmtId="166" formatCode="###,###,###,##0.00"/>
    <numFmt numFmtId="167" formatCode="0.00_);[Red]\(0.00\)"/>
    <numFmt numFmtId="168" formatCode="_(* #,##0.0_);_(* \(#,##0.0\);_(* &quot;-&quot;??_);_(@_)"/>
    <numFmt numFmtId="169" formatCode="_(* #,##0_);_(* \(#,##0\);_(* &quot;-&quot;??_);_(@_)"/>
    <numFmt numFmtId="170" formatCode="d/m"/>
    <numFmt numFmtId="171" formatCode="mmmm\-yy"/>
    <numFmt numFmtId="172" formatCode="0.0000"/>
    <numFmt numFmtId="173" formatCode="0.000000"/>
    <numFmt numFmtId="174" formatCode="0.00000000"/>
    <numFmt numFmtId="175" formatCode="0.00000000000"/>
    <numFmt numFmtId="176" formatCode="0.0000000"/>
    <numFmt numFmtId="177" formatCode="General&quot; dias&quot;"/>
    <numFmt numFmtId="178" formatCode="#.##000"/>
    <numFmt numFmtId="179" formatCode="#,#00"/>
    <numFmt numFmtId="180" formatCode="%#,#00"/>
    <numFmt numFmtId="181" formatCode="#,"/>
    <numFmt numFmtId="182" formatCode="#,##0.0000"/>
    <numFmt numFmtId="183" formatCode="#,##0.00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24" fillId="0" borderId="0">
      <protection locked="0"/>
    </xf>
    <xf numFmtId="179" fontId="24" fillId="0" borderId="0">
      <protection locked="0"/>
    </xf>
    <xf numFmtId="0" fontId="3" fillId="0" borderId="0"/>
    <xf numFmtId="180" fontId="24" fillId="0" borderId="0">
      <protection locked="0"/>
    </xf>
    <xf numFmtId="178" fontId="24" fillId="0" borderId="0">
      <protection locked="0"/>
    </xf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5" fillId="0" borderId="0">
      <protection locked="0"/>
    </xf>
    <xf numFmtId="181" fontId="25" fillId="0" borderId="0">
      <protection locked="0"/>
    </xf>
    <xf numFmtId="164" fontId="26" fillId="0" borderId="0" applyFont="0" applyFill="0" applyBorder="0" applyAlignment="0" applyProtection="0"/>
    <xf numFmtId="0" fontId="35" fillId="0" borderId="0"/>
    <xf numFmtId="164" fontId="3" fillId="0" borderId="0" applyFont="0" applyFill="0" applyBorder="0" applyAlignment="0" applyProtection="0"/>
  </cellStyleXfs>
  <cellXfs count="684">
    <xf numFmtId="0" fontId="0" fillId="0" borderId="0" xfId="0"/>
    <xf numFmtId="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4" fontId="0" fillId="1" borderId="1" xfId="0" applyNumberForma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horizontal="left" vertical="center"/>
    </xf>
    <xf numFmtId="0" fontId="0" fillId="0" borderId="5" xfId="0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171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170" fontId="1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2" fillId="0" borderId="19" xfId="0" quotePrefix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12" fillId="0" borderId="21" xfId="0" quotePrefix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/>
    <xf numFmtId="0" fontId="11" fillId="0" borderId="23" xfId="0" applyFont="1" applyBorder="1" applyAlignment="1">
      <alignment horizontal="center"/>
    </xf>
    <xf numFmtId="169" fontId="11" fillId="0" borderId="24" xfId="8" applyNumberFormat="1" applyFont="1" applyBorder="1"/>
    <xf numFmtId="0" fontId="11" fillId="0" borderId="25" xfId="0" applyFont="1" applyBorder="1"/>
    <xf numFmtId="164" fontId="11" fillId="0" borderId="25" xfId="8" applyFont="1" applyBorder="1" applyAlignment="1">
      <alignment horizontal="center"/>
    </xf>
    <xf numFmtId="164" fontId="11" fillId="0" borderId="0" xfId="8" applyFont="1" applyAlignment="1">
      <alignment horizontal="center"/>
    </xf>
    <xf numFmtId="0" fontId="11" fillId="0" borderId="13" xfId="0" applyFont="1" applyBorder="1"/>
    <xf numFmtId="0" fontId="13" fillId="0" borderId="0" xfId="0" applyFont="1"/>
    <xf numFmtId="164" fontId="11" fillId="0" borderId="12" xfId="8" applyFont="1" applyBorder="1"/>
    <xf numFmtId="0" fontId="11" fillId="0" borderId="0" xfId="0" applyFont="1" applyBorder="1"/>
    <xf numFmtId="164" fontId="11" fillId="0" borderId="0" xfId="8" applyFont="1" applyBorder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4" fontId="11" fillId="0" borderId="12" xfId="8" applyFont="1" applyBorder="1" applyAlignment="1">
      <alignment horizontal="center"/>
    </xf>
    <xf numFmtId="0" fontId="11" fillId="0" borderId="0" xfId="0" quotePrefix="1" applyFont="1" applyAlignment="1">
      <alignment horizontal="left"/>
    </xf>
    <xf numFmtId="164" fontId="11" fillId="0" borderId="12" xfId="8" applyFont="1" applyBorder="1" applyAlignment="1"/>
    <xf numFmtId="0" fontId="14" fillId="0" borderId="0" xfId="0" applyFont="1" applyAlignment="1">
      <alignment horizontal="left"/>
    </xf>
    <xf numFmtId="164" fontId="11" fillId="0" borderId="0" xfId="0" quotePrefix="1" applyNumberFormat="1" applyFont="1" applyAlignment="1">
      <alignment horizontal="left"/>
    </xf>
    <xf numFmtId="164" fontId="14" fillId="0" borderId="12" xfId="8" applyFont="1" applyBorder="1" applyAlignment="1"/>
    <xf numFmtId="0" fontId="14" fillId="0" borderId="0" xfId="0" applyFont="1" applyBorder="1"/>
    <xf numFmtId="164" fontId="14" fillId="0" borderId="0" xfId="8" applyFont="1" applyBorder="1" applyAlignment="1">
      <alignment horizontal="center"/>
    </xf>
    <xf numFmtId="164" fontId="14" fillId="0" borderId="0" xfId="8" applyFont="1" applyAlignment="1">
      <alignment horizontal="center"/>
    </xf>
    <xf numFmtId="164" fontId="2" fillId="0" borderId="0" xfId="8" applyFont="1" applyAlignment="1">
      <alignment horizontal="right"/>
    </xf>
    <xf numFmtId="4" fontId="2" fillId="0" borderId="0" xfId="0" quotePrefix="1" applyNumberFormat="1" applyFont="1" applyAlignment="1">
      <alignment horizontal="center"/>
    </xf>
    <xf numFmtId="176" fontId="14" fillId="0" borderId="0" xfId="8" applyNumberFormat="1" applyFont="1" applyAlignment="1">
      <alignment horizontal="center"/>
    </xf>
    <xf numFmtId="0" fontId="3" fillId="0" borderId="0" xfId="0" applyFont="1" applyBorder="1"/>
    <xf numFmtId="49" fontId="0" fillId="0" borderId="0" xfId="0" applyNumberFormat="1" applyBorder="1"/>
    <xf numFmtId="164" fontId="11" fillId="0" borderId="0" xfId="8" quotePrefix="1" applyFont="1" applyAlignment="1">
      <alignment horizontal="center"/>
    </xf>
    <xf numFmtId="10" fontId="11" fillId="0" borderId="0" xfId="0" applyNumberFormat="1" applyFont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/>
    <xf numFmtId="0" fontId="11" fillId="0" borderId="26" xfId="0" applyFont="1" applyBorder="1" applyAlignment="1">
      <alignment horizontal="center"/>
    </xf>
    <xf numFmtId="169" fontId="11" fillId="0" borderId="17" xfId="0" applyNumberFormat="1" applyFont="1" applyBorder="1"/>
    <xf numFmtId="164" fontId="11" fillId="0" borderId="16" xfId="8" applyFont="1" applyBorder="1" applyAlignment="1">
      <alignment horizontal="center"/>
    </xf>
    <xf numFmtId="0" fontId="11" fillId="0" borderId="18" xfId="0" applyFont="1" applyBorder="1"/>
    <xf numFmtId="0" fontId="11" fillId="0" borderId="0" xfId="0" applyFont="1" applyBorder="1" applyAlignment="1">
      <alignment horizontal="center"/>
    </xf>
    <xf numFmtId="169" fontId="11" fillId="0" borderId="0" xfId="0" applyNumberFormat="1" applyFont="1" applyBorder="1"/>
    <xf numFmtId="0" fontId="10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9" fontId="11" fillId="0" borderId="27" xfId="0" applyNumberFormat="1" applyFont="1" applyBorder="1" applyAlignment="1">
      <alignment vertical="center"/>
    </xf>
    <xf numFmtId="164" fontId="11" fillId="0" borderId="3" xfId="8" applyFont="1" applyBorder="1" applyAlignment="1">
      <alignment vertical="center"/>
    </xf>
    <xf numFmtId="0" fontId="11" fillId="0" borderId="3" xfId="0" applyFont="1" applyBorder="1"/>
    <xf numFmtId="164" fontId="11" fillId="0" borderId="3" xfId="8" applyFont="1" applyBorder="1" applyAlignment="1">
      <alignment horizontal="center"/>
    </xf>
    <xf numFmtId="0" fontId="11" fillId="0" borderId="5" xfId="0" applyFont="1" applyBorder="1"/>
    <xf numFmtId="169" fontId="11" fillId="0" borderId="15" xfId="0" applyNumberFormat="1" applyFont="1" applyBorder="1"/>
    <xf numFmtId="0" fontId="0" fillId="0" borderId="0" xfId="0" applyBorder="1"/>
    <xf numFmtId="0" fontId="11" fillId="0" borderId="2" xfId="0" applyFont="1" applyBorder="1"/>
    <xf numFmtId="0" fontId="0" fillId="0" borderId="3" xfId="0" applyBorder="1"/>
    <xf numFmtId="0" fontId="11" fillId="0" borderId="28" xfId="0" applyFont="1" applyBorder="1"/>
    <xf numFmtId="0" fontId="0" fillId="0" borderId="7" xfId="0" applyBorder="1"/>
    <xf numFmtId="1" fontId="0" fillId="0" borderId="29" xfId="0" applyNumberFormat="1" applyBorder="1" applyAlignment="1" applyProtection="1">
      <alignment horizontal="center"/>
      <protection locked="0"/>
    </xf>
    <xf numFmtId="0" fontId="11" fillId="0" borderId="10" xfId="0" applyFont="1" applyBorder="1"/>
    <xf numFmtId="0" fontId="11" fillId="0" borderId="30" xfId="0" applyFont="1" applyBorder="1"/>
    <xf numFmtId="17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/>
    <xf numFmtId="0" fontId="0" fillId="0" borderId="24" xfId="0" applyBorder="1"/>
    <xf numFmtId="0" fontId="0" fillId="0" borderId="34" xfId="0" applyBorder="1"/>
    <xf numFmtId="169" fontId="1" fillId="0" borderId="0" xfId="8" applyNumberFormat="1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12" xfId="0" applyBorder="1"/>
    <xf numFmtId="0" fontId="0" fillId="0" borderId="11" xfId="0" applyBorder="1"/>
    <xf numFmtId="0" fontId="0" fillId="0" borderId="23" xfId="0" applyBorder="1"/>
    <xf numFmtId="169" fontId="1" fillId="0" borderId="23" xfId="8" applyNumberFormat="1" applyBorder="1" applyAlignment="1">
      <alignment horizontal="right"/>
    </xf>
    <xf numFmtId="0" fontId="0" fillId="0" borderId="30" xfId="0" applyBorder="1"/>
    <xf numFmtId="49" fontId="2" fillId="0" borderId="36" xfId="0" applyNumberFormat="1" applyFont="1" applyBorder="1" applyAlignment="1">
      <alignment horizontal="center"/>
    </xf>
    <xf numFmtId="0" fontId="8" fillId="0" borderId="0" xfId="0" applyFont="1"/>
    <xf numFmtId="49" fontId="0" fillId="0" borderId="11" xfId="0" applyNumberFormat="1" applyBorder="1"/>
    <xf numFmtId="49" fontId="0" fillId="0" borderId="0" xfId="0" applyNumberFormat="1" applyBorder="1" applyAlignment="1">
      <alignment horizontal="center"/>
    </xf>
    <xf numFmtId="40" fontId="16" fillId="0" borderId="0" xfId="0" applyNumberFormat="1" applyFont="1" applyBorder="1"/>
    <xf numFmtId="164" fontId="3" fillId="0" borderId="30" xfId="8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/>
    <xf numFmtId="169" fontId="1" fillId="0" borderId="23" xfId="8" applyNumberFormat="1" applyFont="1" applyBorder="1" applyAlignment="1">
      <alignment horizontal="right"/>
    </xf>
    <xf numFmtId="0" fontId="3" fillId="0" borderId="12" xfId="0" applyFont="1" applyBorder="1"/>
    <xf numFmtId="169" fontId="17" fillId="0" borderId="23" xfId="8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0" fontId="3" fillId="0" borderId="0" xfId="0" applyNumberFormat="1" applyFont="1" applyBorder="1"/>
    <xf numFmtId="164" fontId="3" fillId="0" borderId="30" xfId="8" applyFont="1" applyFill="1" applyBorder="1" applyAlignment="1">
      <alignment horizontal="center"/>
    </xf>
    <xf numFmtId="169" fontId="3" fillId="0" borderId="23" xfId="8" applyNumberFormat="1" applyFont="1" applyBorder="1" applyAlignment="1">
      <alignment horizontal="right"/>
    </xf>
    <xf numFmtId="172" fontId="3" fillId="0" borderId="23" xfId="8" applyNumberFormat="1" applyFont="1" applyBorder="1" applyAlignment="1">
      <alignment horizontal="right"/>
    </xf>
    <xf numFmtId="167" fontId="3" fillId="0" borderId="0" xfId="0" applyNumberFormat="1" applyFont="1" applyBorder="1"/>
    <xf numFmtId="175" fontId="3" fillId="0" borderId="0" xfId="0" applyNumberFormat="1" applyFont="1" applyBorder="1"/>
    <xf numFmtId="2" fontId="3" fillId="0" borderId="30" xfId="8" applyNumberFormat="1" applyFont="1" applyFill="1" applyBorder="1" applyAlignment="1">
      <alignment horizontal="center"/>
    </xf>
    <xf numFmtId="172" fontId="1" fillId="0" borderId="23" xfId="8" applyNumberFormat="1" applyBorder="1" applyAlignment="1">
      <alignment horizontal="right"/>
    </xf>
    <xf numFmtId="2" fontId="1" fillId="0" borderId="23" xfId="8" applyNumberFormat="1" applyBorder="1" applyAlignment="1">
      <alignment horizontal="right"/>
    </xf>
    <xf numFmtId="173" fontId="1" fillId="0" borderId="23" xfId="8" applyNumberFormat="1" applyBorder="1" applyAlignment="1">
      <alignment horizontal="right"/>
    </xf>
    <xf numFmtId="168" fontId="1" fillId="0" borderId="23" xfId="8" applyNumberFormat="1" applyBorder="1" applyAlignment="1">
      <alignment horizontal="right"/>
    </xf>
    <xf numFmtId="172" fontId="3" fillId="0" borderId="0" xfId="0" applyNumberFormat="1" applyFont="1" applyBorder="1"/>
    <xf numFmtId="173" fontId="3" fillId="0" borderId="0" xfId="0" applyNumberFormat="1" applyFont="1" applyBorder="1"/>
    <xf numFmtId="0" fontId="0" fillId="0" borderId="37" xfId="0" applyBorder="1"/>
    <xf numFmtId="0" fontId="0" fillId="0" borderId="17" xfId="0" applyBorder="1"/>
    <xf numFmtId="49" fontId="0" fillId="0" borderId="16" xfId="0" applyNumberFormat="1" applyBorder="1"/>
    <xf numFmtId="49" fontId="0" fillId="0" borderId="15" xfId="0" applyNumberFormat="1" applyBorder="1"/>
    <xf numFmtId="49" fontId="0" fillId="0" borderId="26" xfId="0" applyNumberFormat="1" applyBorder="1" applyAlignment="1">
      <alignment horizontal="center"/>
    </xf>
    <xf numFmtId="169" fontId="1" fillId="0" borderId="26" xfId="8" applyNumberFormat="1" applyBorder="1" applyAlignment="1">
      <alignment horizontal="right"/>
    </xf>
    <xf numFmtId="40" fontId="3" fillId="0" borderId="16" xfId="0" applyNumberFormat="1" applyFont="1" applyBorder="1"/>
    <xf numFmtId="40" fontId="0" fillId="0" borderId="31" xfId="0" applyNumberFormat="1" applyBorder="1"/>
    <xf numFmtId="0" fontId="0" fillId="0" borderId="38" xfId="0" applyBorder="1"/>
    <xf numFmtId="169" fontId="1" fillId="0" borderId="38" xfId="8" applyNumberFormat="1" applyBorder="1" applyAlignment="1"/>
    <xf numFmtId="0" fontId="11" fillId="0" borderId="12" xfId="0" applyFont="1" applyBorder="1"/>
    <xf numFmtId="169" fontId="1" fillId="0" borderId="0" xfId="8" applyNumberFormat="1" applyBorder="1" applyAlignment="1"/>
    <xf numFmtId="0" fontId="0" fillId="0" borderId="13" xfId="0" applyBorder="1"/>
    <xf numFmtId="0" fontId="0" fillId="0" borderId="16" xfId="0" applyBorder="1"/>
    <xf numFmtId="169" fontId="1" fillId="0" borderId="16" xfId="8" applyNumberFormat="1" applyBorder="1" applyAlignment="1"/>
    <xf numFmtId="0" fontId="0" fillId="0" borderId="18" xfId="0" applyBorder="1"/>
    <xf numFmtId="164" fontId="3" fillId="0" borderId="0" xfId="8" applyFont="1" applyBorder="1" applyAlignment="1"/>
    <xf numFmtId="49" fontId="0" fillId="0" borderId="36" xfId="0" applyNumberFormat="1" applyBorder="1" applyAlignment="1">
      <alignment horizontal="center"/>
    </xf>
    <xf numFmtId="0" fontId="3" fillId="0" borderId="0" xfId="0" applyFont="1" applyAlignment="1">
      <alignment horizontal="justify"/>
    </xf>
    <xf numFmtId="0" fontId="3" fillId="0" borderId="2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164" fontId="3" fillId="0" borderId="23" xfId="8" applyFont="1" applyBorder="1" applyAlignment="1">
      <alignment horizontal="right" vertical="top"/>
    </xf>
    <xf numFmtId="2" fontId="16" fillId="0" borderId="0" xfId="8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164" fontId="3" fillId="0" borderId="0" xfId="8" applyFont="1" applyBorder="1" applyAlignment="1">
      <alignment horizontal="right" vertical="top"/>
    </xf>
    <xf numFmtId="0" fontId="3" fillId="0" borderId="0" xfId="0" applyFont="1" applyAlignment="1"/>
    <xf numFmtId="173" fontId="1" fillId="0" borderId="11" xfId="8" applyNumberFormat="1" applyFont="1" applyBorder="1" applyAlignment="1"/>
    <xf numFmtId="164" fontId="17" fillId="0" borderId="11" xfId="8" applyFont="1" applyBorder="1" applyAlignment="1"/>
    <xf numFmtId="0" fontId="3" fillId="0" borderId="23" xfId="0" applyFont="1" applyBorder="1" applyAlignment="1">
      <alignment horizontal="right" vertical="top" wrapText="1"/>
    </xf>
    <xf numFmtId="164" fontId="1" fillId="0" borderId="11" xfId="8" applyFont="1" applyBorder="1" applyAlignment="1">
      <alignment horizontal="right" vertical="top"/>
    </xf>
    <xf numFmtId="164" fontId="16" fillId="0" borderId="11" xfId="8" applyFont="1" applyBorder="1" applyAlignment="1">
      <alignment horizontal="right" vertical="top"/>
    </xf>
    <xf numFmtId="3" fontId="16" fillId="0" borderId="23" xfId="0" applyNumberFormat="1" applyFont="1" applyBorder="1" applyAlignment="1">
      <alignment horizontal="right" vertical="top" wrapText="1"/>
    </xf>
    <xf numFmtId="164" fontId="3" fillId="0" borderId="11" xfId="8" applyFont="1" applyBorder="1" applyAlignment="1">
      <alignment horizontal="right" vertical="top"/>
    </xf>
    <xf numFmtId="3" fontId="3" fillId="0" borderId="23" xfId="0" applyNumberFormat="1" applyFont="1" applyBorder="1" applyAlignment="1">
      <alignment horizontal="right" vertical="top" wrapText="1"/>
    </xf>
    <xf numFmtId="172" fontId="3" fillId="0" borderId="23" xfId="0" applyNumberFormat="1" applyFont="1" applyBorder="1" applyAlignment="1">
      <alignment horizontal="right" vertical="top" wrapText="1"/>
    </xf>
    <xf numFmtId="173" fontId="3" fillId="0" borderId="11" xfId="8" applyNumberFormat="1" applyFont="1" applyBorder="1" applyAlignment="1">
      <alignment horizontal="right" vertical="top"/>
    </xf>
    <xf numFmtId="2" fontId="3" fillId="0" borderId="11" xfId="8" applyNumberFormat="1" applyFont="1" applyBorder="1" applyAlignment="1">
      <alignment horizontal="right" vertical="top"/>
    </xf>
    <xf numFmtId="0" fontId="0" fillId="0" borderId="0" xfId="0" applyAlignment="1"/>
    <xf numFmtId="0" fontId="0" fillId="0" borderId="0" xfId="0" applyBorder="1" applyAlignment="1"/>
    <xf numFmtId="174" fontId="3" fillId="0" borderId="23" xfId="0" applyNumberFormat="1" applyFont="1" applyBorder="1" applyAlignment="1">
      <alignment horizontal="right" vertical="top" wrapText="1"/>
    </xf>
    <xf numFmtId="0" fontId="0" fillId="0" borderId="11" xfId="0" applyBorder="1" applyAlignment="1"/>
    <xf numFmtId="2" fontId="17" fillId="0" borderId="23" xfId="8" applyNumberFormat="1" applyFont="1" applyBorder="1" applyAlignment="1">
      <alignment horizontal="right"/>
    </xf>
    <xf numFmtId="0" fontId="3" fillId="0" borderId="12" xfId="0" applyFont="1" applyBorder="1" applyAlignment="1"/>
    <xf numFmtId="172" fontId="1" fillId="0" borderId="23" xfId="8" applyNumberFormat="1" applyFont="1" applyBorder="1" applyAlignment="1">
      <alignment horizontal="right"/>
    </xf>
    <xf numFmtId="2" fontId="1" fillId="0" borderId="23" xfId="8" applyNumberFormat="1" applyFont="1" applyBorder="1" applyAlignment="1">
      <alignment horizontal="right"/>
    </xf>
    <xf numFmtId="2" fontId="1" fillId="0" borderId="0" xfId="8" applyNumberFormat="1" applyAlignment="1"/>
    <xf numFmtId="164" fontId="3" fillId="0" borderId="23" xfId="8" applyFont="1" applyBorder="1"/>
    <xf numFmtId="169" fontId="1" fillId="0" borderId="0" xfId="8" applyNumberFormat="1" applyAlignment="1"/>
    <xf numFmtId="2" fontId="3" fillId="0" borderId="0" xfId="8" applyNumberFormat="1" applyFont="1" applyBorder="1" applyAlignment="1">
      <alignment horizontal="right" vertical="top"/>
    </xf>
    <xf numFmtId="164" fontId="3" fillId="0" borderId="23" xfId="8" applyFont="1" applyBorder="1" applyAlignment="1">
      <alignment horizontal="right" vertical="top" wrapText="1"/>
    </xf>
    <xf numFmtId="169" fontId="3" fillId="0" borderId="0" xfId="8" applyNumberFormat="1" applyFont="1" applyBorder="1" applyAlignment="1">
      <alignment horizontal="right" vertical="top"/>
    </xf>
    <xf numFmtId="2" fontId="16" fillId="0" borderId="0" xfId="8" applyNumberFormat="1" applyFont="1" applyBorder="1" applyAlignment="1">
      <alignment horizontal="right" vertical="top"/>
    </xf>
    <xf numFmtId="164" fontId="3" fillId="0" borderId="0" xfId="8" applyFont="1" applyBorder="1" applyAlignment="1">
      <alignment horizontal="right" vertical="top" wrapText="1"/>
    </xf>
    <xf numFmtId="49" fontId="0" fillId="0" borderId="23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0" fontId="0" fillId="0" borderId="16" xfId="0" applyNumberFormat="1" applyBorder="1"/>
    <xf numFmtId="0" fontId="0" fillId="0" borderId="36" xfId="0" applyBorder="1" applyAlignment="1">
      <alignment horizontal="center"/>
    </xf>
    <xf numFmtId="40" fontId="3" fillId="0" borderId="23" xfId="0" applyNumberFormat="1" applyFont="1" applyBorder="1"/>
    <xf numFmtId="0" fontId="0" fillId="0" borderId="10" xfId="0" applyBorder="1" applyAlignment="1">
      <alignment horizontal="center"/>
    </xf>
    <xf numFmtId="169" fontId="1" fillId="0" borderId="23" xfId="8" applyNumberFormat="1" applyFont="1" applyBorder="1" applyAlignment="1">
      <alignment horizontal="center"/>
    </xf>
    <xf numFmtId="169" fontId="1" fillId="0" borderId="23" xfId="8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40" fontId="0" fillId="0" borderId="0" xfId="0" applyNumberFormat="1" applyBorder="1"/>
    <xf numFmtId="164" fontId="2" fillId="0" borderId="30" xfId="8" applyFont="1" applyBorder="1" applyAlignment="1">
      <alignment horizontal="center"/>
    </xf>
    <xf numFmtId="40" fontId="0" fillId="0" borderId="30" xfId="0" applyNumberFormat="1" applyBorder="1"/>
    <xf numFmtId="169" fontId="16" fillId="0" borderId="23" xfId="8" applyNumberFormat="1" applyFont="1" applyBorder="1" applyAlignment="1">
      <alignment horizontal="right"/>
    </xf>
    <xf numFmtId="0" fontId="17" fillId="0" borderId="0" xfId="0" applyFont="1" applyBorder="1" applyAlignment="1">
      <alignment horizontal="right" vertical="top" wrapText="1"/>
    </xf>
    <xf numFmtId="2" fontId="17" fillId="0" borderId="0" xfId="8" applyNumberFormat="1" applyFont="1" applyBorder="1" applyAlignment="1">
      <alignment vertical="top" wrapText="1"/>
    </xf>
    <xf numFmtId="0" fontId="17" fillId="0" borderId="23" xfId="0" applyFont="1" applyBorder="1"/>
    <xf numFmtId="3" fontId="17" fillId="0" borderId="23" xfId="0" applyNumberFormat="1" applyFont="1" applyBorder="1" applyAlignment="1">
      <alignment horizontal="right" vertical="top" wrapText="1"/>
    </xf>
    <xf numFmtId="2" fontId="1" fillId="0" borderId="0" xfId="8" applyNumberFormat="1" applyBorder="1" applyAlignment="1">
      <alignment horizontal="right"/>
    </xf>
    <xf numFmtId="164" fontId="3" fillId="0" borderId="0" xfId="8" applyFont="1" applyBorder="1"/>
    <xf numFmtId="164" fontId="3" fillId="0" borderId="30" xfId="8" applyFont="1" applyBorder="1" applyAlignment="1"/>
    <xf numFmtId="4" fontId="0" fillId="0" borderId="1" xfId="0" applyNumberFormat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0" borderId="0" xfId="0" applyNumberFormat="1" applyAlignment="1">
      <alignment horizontal="left" vertical="center" indent="1"/>
    </xf>
    <xf numFmtId="0" fontId="0" fillId="3" borderId="0" xfId="0" applyNumberForma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textRotation="90"/>
    </xf>
    <xf numFmtId="10" fontId="0" fillId="0" borderId="1" xfId="6" applyNumberFormat="1" applyFont="1" applyFill="1" applyBorder="1" applyAlignment="1">
      <alignment horizontal="center" vertical="center" textRotation="90"/>
    </xf>
    <xf numFmtId="4" fontId="0" fillId="0" borderId="32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19" fillId="0" borderId="0" xfId="0" applyNumberFormat="1" applyFont="1" applyFill="1" applyAlignment="1">
      <alignment vertical="center"/>
    </xf>
    <xf numFmtId="4" fontId="19" fillId="0" borderId="0" xfId="0" applyNumberFormat="1" applyFont="1" applyAlignment="1"/>
    <xf numFmtId="4" fontId="22" fillId="0" borderId="0" xfId="0" applyNumberFormat="1" applyFont="1" applyFill="1" applyBorder="1" applyAlignment="1">
      <alignment horizontal="centerContinuous"/>
    </xf>
    <xf numFmtId="4" fontId="20" fillId="0" borderId="0" xfId="0" applyNumberFormat="1" applyFont="1" applyFill="1" applyBorder="1" applyAlignment="1">
      <alignment horizontal="centerContinuous"/>
    </xf>
    <xf numFmtId="0" fontId="22" fillId="0" borderId="0" xfId="0" applyFont="1" applyFill="1" applyBorder="1" applyAlignment="1"/>
    <xf numFmtId="0" fontId="21" fillId="0" borderId="0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4" fontId="20" fillId="0" borderId="0" xfId="0" applyNumberFormat="1" applyFont="1" applyAlignment="1">
      <alignment horizontal="center"/>
    </xf>
    <xf numFmtId="4" fontId="19" fillId="0" borderId="0" xfId="0" applyNumberFormat="1" applyFont="1" applyBorder="1" applyAlignment="1"/>
    <xf numFmtId="3" fontId="19" fillId="0" borderId="0" xfId="0" applyNumberFormat="1" applyFont="1" applyAlignment="1">
      <alignment horizontal="center"/>
    </xf>
    <xf numFmtId="4" fontId="19" fillId="0" borderId="0" xfId="0" applyNumberFormat="1" applyFont="1" applyFill="1" applyAlignment="1">
      <alignment wrapText="1"/>
    </xf>
    <xf numFmtId="4" fontId="19" fillId="0" borderId="16" xfId="0" applyNumberFormat="1" applyFont="1" applyBorder="1" applyAlignment="1"/>
    <xf numFmtId="4" fontId="11" fillId="0" borderId="45" xfId="0" applyNumberFormat="1" applyFont="1" applyFill="1" applyBorder="1" applyAlignment="1">
      <alignment horizontal="right"/>
    </xf>
    <xf numFmtId="4" fontId="11" fillId="0" borderId="46" xfId="8" applyNumberFormat="1" applyFont="1" applyFill="1" applyBorder="1" applyAlignment="1">
      <alignment horizontal="right"/>
    </xf>
    <xf numFmtId="4" fontId="20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left"/>
    </xf>
    <xf numFmtId="4" fontId="22" fillId="0" borderId="0" xfId="0" applyNumberFormat="1" applyFont="1" applyFill="1" applyBorder="1" applyAlignment="1">
      <alignment horizontal="left"/>
    </xf>
    <xf numFmtId="4" fontId="20" fillId="0" borderId="0" xfId="0" applyNumberFormat="1" applyFont="1" applyFill="1" applyBorder="1" applyAlignment="1">
      <alignment horizontal="left"/>
    </xf>
    <xf numFmtId="4" fontId="20" fillId="0" borderId="16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4" fontId="22" fillId="0" borderId="2" xfId="0" applyNumberFormat="1" applyFont="1" applyFill="1" applyBorder="1" applyAlignment="1">
      <alignment horizontal="centerContinuous"/>
    </xf>
    <xf numFmtId="4" fontId="2" fillId="0" borderId="3" xfId="0" applyNumberFormat="1" applyFont="1" applyFill="1" applyBorder="1" applyAlignment="1">
      <alignment horizontal="centerContinuous"/>
    </xf>
    <xf numFmtId="4" fontId="22" fillId="0" borderId="3" xfId="0" applyNumberFormat="1" applyFont="1" applyFill="1" applyBorder="1" applyAlignment="1">
      <alignment horizontal="left"/>
    </xf>
    <xf numFmtId="4" fontId="19" fillId="0" borderId="3" xfId="0" applyNumberFormat="1" applyFont="1" applyBorder="1" applyAlignment="1"/>
    <xf numFmtId="4" fontId="19" fillId="0" borderId="5" xfId="0" applyNumberFormat="1" applyFont="1" applyBorder="1" applyAlignment="1"/>
    <xf numFmtId="4" fontId="22" fillId="0" borderId="10" xfId="0" applyNumberFormat="1" applyFont="1" applyFill="1" applyBorder="1" applyAlignment="1">
      <alignment horizontal="centerContinuous"/>
    </xf>
    <xf numFmtId="4" fontId="19" fillId="0" borderId="13" xfId="0" applyNumberFormat="1" applyFont="1" applyBorder="1" applyAlignment="1"/>
    <xf numFmtId="4" fontId="20" fillId="0" borderId="10" xfId="0" applyNumberFormat="1" applyFont="1" applyFill="1" applyBorder="1" applyAlignment="1">
      <alignment horizontal="centerContinuous"/>
    </xf>
    <xf numFmtId="0" fontId="2" fillId="0" borderId="10" xfId="0" applyFont="1" applyFill="1" applyBorder="1" applyAlignment="1"/>
    <xf numFmtId="4" fontId="19" fillId="0" borderId="18" xfId="0" applyNumberFormat="1" applyFont="1" applyBorder="1" applyAlignment="1"/>
    <xf numFmtId="0" fontId="22" fillId="0" borderId="10" xfId="0" applyFont="1" applyFill="1" applyBorder="1" applyAlignment="1"/>
    <xf numFmtId="0" fontId="21" fillId="0" borderId="10" xfId="0" applyFont="1" applyFill="1" applyBorder="1" applyAlignment="1"/>
    <xf numFmtId="0" fontId="4" fillId="0" borderId="40" xfId="0" applyFont="1" applyFill="1" applyBorder="1" applyAlignment="1">
      <alignment horizontal="center" vertical="center"/>
    </xf>
    <xf numFmtId="3" fontId="3" fillId="0" borderId="54" xfId="0" quotePrefix="1" applyNumberFormat="1" applyFont="1" applyFill="1" applyBorder="1" applyAlignment="1">
      <alignment horizontal="center" vertical="center"/>
    </xf>
    <xf numFmtId="0" fontId="11" fillId="4" borderId="56" xfId="0" quotePrefix="1" applyFont="1" applyFill="1" applyBorder="1" applyAlignment="1">
      <alignment horizontal="center"/>
    </xf>
    <xf numFmtId="49" fontId="4" fillId="4" borderId="57" xfId="0" applyNumberFormat="1" applyFont="1" applyFill="1" applyBorder="1" applyAlignment="1">
      <alignment horizontal="right" wrapText="1"/>
    </xf>
    <xf numFmtId="4" fontId="28" fillId="0" borderId="0" xfId="0" applyNumberFormat="1" applyFont="1" applyAlignment="1"/>
    <xf numFmtId="4" fontId="27" fillId="0" borderId="2" xfId="0" applyNumberFormat="1" applyFont="1" applyFill="1" applyBorder="1" applyAlignment="1">
      <alignment horizontal="centerContinuous"/>
    </xf>
    <xf numFmtId="4" fontId="27" fillId="0" borderId="3" xfId="0" applyNumberFormat="1" applyFont="1" applyFill="1" applyBorder="1" applyAlignment="1">
      <alignment horizontal="centerContinuous"/>
    </xf>
    <xf numFmtId="4" fontId="4" fillId="0" borderId="3" xfId="0" applyNumberFormat="1" applyFont="1" applyFill="1" applyBorder="1" applyAlignment="1">
      <alignment horizontal="centerContinuous"/>
    </xf>
    <xf numFmtId="4" fontId="27" fillId="0" borderId="3" xfId="0" applyNumberFormat="1" applyFont="1" applyFill="1" applyBorder="1" applyAlignment="1">
      <alignment horizontal="left"/>
    </xf>
    <xf numFmtId="4" fontId="28" fillId="0" borderId="3" xfId="0" applyNumberFormat="1" applyFont="1" applyBorder="1" applyAlignment="1"/>
    <xf numFmtId="4" fontId="28" fillId="0" borderId="5" xfId="0" applyNumberFormat="1" applyFont="1" applyBorder="1" applyAlignment="1"/>
    <xf numFmtId="4" fontId="28" fillId="0" borderId="0" xfId="0" applyNumberFormat="1" applyFont="1" applyFill="1" applyAlignment="1">
      <alignment vertical="center"/>
    </xf>
    <xf numFmtId="4" fontId="28" fillId="0" borderId="0" xfId="0" applyNumberFormat="1" applyFont="1" applyBorder="1" applyAlignment="1"/>
    <xf numFmtId="4" fontId="28" fillId="0" borderId="0" xfId="0" applyNumberFormat="1" applyFont="1" applyAlignment="1">
      <alignment vertical="center"/>
    </xf>
    <xf numFmtId="4" fontId="27" fillId="0" borderId="10" xfId="0" applyNumberFormat="1" applyFont="1" applyFill="1" applyBorder="1" applyAlignment="1">
      <alignment horizontal="centerContinuous"/>
    </xf>
    <xf numFmtId="4" fontId="27" fillId="0" borderId="0" xfId="0" applyNumberFormat="1" applyFont="1" applyFill="1" applyBorder="1" applyAlignment="1">
      <alignment horizontal="centerContinuous"/>
    </xf>
    <xf numFmtId="4" fontId="27" fillId="0" borderId="0" xfId="0" applyNumberFormat="1" applyFont="1" applyFill="1" applyBorder="1" applyAlignment="1">
      <alignment horizontal="left"/>
    </xf>
    <xf numFmtId="4" fontId="28" fillId="0" borderId="13" xfId="0" applyNumberFormat="1" applyFont="1" applyBorder="1" applyAlignment="1"/>
    <xf numFmtId="0" fontId="4" fillId="0" borderId="10" xfId="0" applyFont="1" applyFill="1" applyBorder="1" applyAlignment="1"/>
    <xf numFmtId="0" fontId="4" fillId="0" borderId="14" xfId="0" applyFont="1" applyFill="1" applyBorder="1" applyAlignment="1"/>
    <xf numFmtId="4" fontId="27" fillId="0" borderId="16" xfId="0" applyNumberFormat="1" applyFont="1" applyFill="1" applyBorder="1" applyAlignment="1">
      <alignment horizontal="centerContinuous"/>
    </xf>
    <xf numFmtId="4" fontId="27" fillId="0" borderId="16" xfId="0" applyNumberFormat="1" applyFont="1" applyFill="1" applyBorder="1" applyAlignment="1">
      <alignment horizontal="left"/>
    </xf>
    <xf numFmtId="4" fontId="28" fillId="0" borderId="16" xfId="0" applyNumberFormat="1" applyFont="1" applyBorder="1" applyAlignment="1"/>
    <xf numFmtId="4" fontId="28" fillId="0" borderId="18" xfId="0" applyNumberFormat="1" applyFont="1" applyBorder="1" applyAlignment="1"/>
    <xf numFmtId="0" fontId="27" fillId="0" borderId="10" xfId="0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4" fontId="27" fillId="0" borderId="0" xfId="0" applyNumberFormat="1" applyFont="1" applyFill="1" applyBorder="1" applyAlignment="1"/>
    <xf numFmtId="0" fontId="28" fillId="0" borderId="6" xfId="0" applyFont="1" applyFill="1" applyBorder="1" applyAlignment="1"/>
    <xf numFmtId="0" fontId="28" fillId="0" borderId="7" xfId="0" applyFont="1" applyFill="1" applyBorder="1" applyAlignment="1"/>
    <xf numFmtId="0" fontId="28" fillId="0" borderId="7" xfId="0" applyFont="1" applyFill="1" applyBorder="1" applyAlignment="1">
      <alignment horizontal="left"/>
    </xf>
    <xf numFmtId="4" fontId="28" fillId="0" borderId="7" xfId="0" applyNumberFormat="1" applyFont="1" applyFill="1" applyBorder="1" applyAlignment="1"/>
    <xf numFmtId="4" fontId="28" fillId="0" borderId="7" xfId="0" applyNumberFormat="1" applyFont="1" applyBorder="1" applyAlignment="1"/>
    <xf numFmtId="4" fontId="28" fillId="0" borderId="9" xfId="0" applyNumberFormat="1" applyFont="1" applyBorder="1" applyAlignment="1"/>
    <xf numFmtId="4" fontId="28" fillId="0" borderId="0" xfId="0" applyNumberFormat="1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3" fontId="28" fillId="0" borderId="10" xfId="0" applyNumberFormat="1" applyFont="1" applyBorder="1" applyAlignment="1">
      <alignment horizontal="center"/>
    </xf>
    <xf numFmtId="4" fontId="28" fillId="0" borderId="11" xfId="0" applyNumberFormat="1" applyFont="1" applyFill="1" applyBorder="1" applyAlignment="1">
      <alignment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/>
    </xf>
    <xf numFmtId="49" fontId="18" fillId="0" borderId="50" xfId="0" applyNumberFormat="1" applyFont="1" applyFill="1" applyBorder="1" applyAlignment="1">
      <alignment horizontal="left" wrapText="1"/>
    </xf>
    <xf numFmtId="0" fontId="18" fillId="0" borderId="50" xfId="0" applyFont="1" applyFill="1" applyBorder="1" applyAlignment="1">
      <alignment horizontal="left"/>
    </xf>
    <xf numFmtId="166" fontId="18" fillId="0" borderId="50" xfId="0" applyNumberFormat="1" applyFont="1" applyFill="1" applyBorder="1" applyAlignment="1">
      <alignment horizontal="right"/>
    </xf>
    <xf numFmtId="4" fontId="18" fillId="0" borderId="50" xfId="0" applyNumberFormat="1" applyFont="1" applyFill="1" applyBorder="1" applyAlignment="1">
      <alignment horizontal="right"/>
    </xf>
    <xf numFmtId="4" fontId="18" fillId="0" borderId="60" xfId="8" applyNumberFormat="1" applyFont="1" applyFill="1" applyBorder="1" applyAlignment="1">
      <alignment horizontal="right"/>
    </xf>
    <xf numFmtId="4" fontId="18" fillId="0" borderId="45" xfId="0" applyNumberFormat="1" applyFont="1" applyFill="1" applyBorder="1" applyAlignment="1">
      <alignment horizontal="right"/>
    </xf>
    <xf numFmtId="4" fontId="28" fillId="0" borderId="0" xfId="0" applyNumberFormat="1" applyFont="1" applyFill="1" applyAlignment="1"/>
    <xf numFmtId="49" fontId="18" fillId="0" borderId="0" xfId="0" applyNumberFormat="1" applyFont="1" applyFill="1" applyBorder="1" applyAlignment="1">
      <alignment horizontal="left" wrapText="1"/>
    </xf>
    <xf numFmtId="3" fontId="28" fillId="0" borderId="0" xfId="0" applyNumberFormat="1" applyFont="1" applyAlignment="1">
      <alignment horizontal="center"/>
    </xf>
    <xf numFmtId="4" fontId="28" fillId="0" borderId="0" xfId="0" applyNumberFormat="1" applyFont="1" applyFill="1" applyAlignment="1">
      <alignment wrapText="1"/>
    </xf>
    <xf numFmtId="4" fontId="28" fillId="0" borderId="0" xfId="0" applyNumberFormat="1" applyFont="1" applyFill="1" applyAlignment="1">
      <alignment horizontal="left"/>
    </xf>
    <xf numFmtId="4" fontId="28" fillId="0" borderId="0" xfId="0" applyNumberFormat="1" applyFont="1" applyFill="1" applyAlignment="1">
      <alignment horizontal="right"/>
    </xf>
    <xf numFmtId="0" fontId="27" fillId="0" borderId="0" xfId="0" applyFont="1" applyFill="1" applyAlignment="1"/>
    <xf numFmtId="0" fontId="28" fillId="0" borderId="0" xfId="0" applyFont="1" applyFill="1" applyAlignment="1"/>
    <xf numFmtId="10" fontId="27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4" fontId="18" fillId="0" borderId="46" xfId="8" applyNumberFormat="1" applyFont="1" applyFill="1" applyBorder="1" applyAlignment="1">
      <alignment horizontal="right"/>
    </xf>
    <xf numFmtId="4" fontId="29" fillId="0" borderId="0" xfId="0" applyNumberFormat="1" applyFont="1" applyBorder="1" applyAlignment="1"/>
    <xf numFmtId="4" fontId="30" fillId="0" borderId="10" xfId="0" applyNumberFormat="1" applyFont="1" applyFill="1" applyBorder="1" applyAlignment="1">
      <alignment horizontal="centerContinuous"/>
    </xf>
    <xf numFmtId="4" fontId="30" fillId="0" borderId="0" xfId="0" applyNumberFormat="1" applyFont="1" applyFill="1" applyBorder="1" applyAlignment="1">
      <alignment horizontal="centerContinuous"/>
    </xf>
    <xf numFmtId="4" fontId="30" fillId="0" borderId="0" xfId="0" applyNumberFormat="1" applyFont="1" applyFill="1" applyBorder="1" applyAlignment="1">
      <alignment horizontal="left"/>
    </xf>
    <xf numFmtId="4" fontId="29" fillId="0" borderId="13" xfId="0" applyNumberFormat="1" applyFont="1" applyBorder="1" applyAlignment="1"/>
    <xf numFmtId="0" fontId="27" fillId="6" borderId="0" xfId="0" applyFont="1" applyFill="1" applyBorder="1" applyAlignment="1"/>
    <xf numFmtId="3" fontId="28" fillId="6" borderId="0" xfId="0" applyNumberFormat="1" applyFont="1" applyFill="1" applyAlignment="1">
      <alignment horizontal="center"/>
    </xf>
    <xf numFmtId="0" fontId="4" fillId="0" borderId="0" xfId="0" applyFont="1" applyFill="1" applyBorder="1" applyAlignment="1"/>
    <xf numFmtId="0" fontId="4" fillId="0" borderId="16" xfId="0" applyFont="1" applyFill="1" applyBorder="1" applyAlignment="1"/>
    <xf numFmtId="0" fontId="4" fillId="0" borderId="23" xfId="0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 wrapText="1"/>
    </xf>
    <xf numFmtId="0" fontId="18" fillId="0" borderId="49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left"/>
    </xf>
    <xf numFmtId="3" fontId="4" fillId="4" borderId="54" xfId="0" applyNumberFormat="1" applyFont="1" applyFill="1" applyBorder="1" applyAlignment="1">
      <alignment horizontal="center" vertical="center"/>
    </xf>
    <xf numFmtId="49" fontId="4" fillId="4" borderId="48" xfId="0" applyNumberFormat="1" applyFont="1" applyFill="1" applyBorder="1" applyAlignment="1">
      <alignment horizontal="left" vertical="center" wrapText="1"/>
    </xf>
    <xf numFmtId="3" fontId="4" fillId="7" borderId="48" xfId="0" applyNumberFormat="1" applyFont="1" applyFill="1" applyBorder="1" applyAlignment="1">
      <alignment horizontal="center" vertical="center"/>
    </xf>
    <xf numFmtId="4" fontId="20" fillId="0" borderId="0" xfId="0" applyNumberFormat="1" applyFont="1" applyBorder="1" applyAlignment="1"/>
    <xf numFmtId="4" fontId="32" fillId="0" borderId="0" xfId="0" applyNumberFormat="1" applyFont="1" applyAlignment="1">
      <alignment horizontal="center"/>
    </xf>
    <xf numFmtId="4" fontId="32" fillId="0" borderId="0" xfId="0" applyNumberFormat="1" applyFont="1" applyFill="1" applyAlignment="1">
      <alignment horizontal="center" vertical="center"/>
    </xf>
    <xf numFmtId="0" fontId="33" fillId="0" borderId="45" xfId="0" applyFont="1" applyFill="1" applyBorder="1" applyAlignment="1">
      <alignment horizontal="right"/>
    </xf>
    <xf numFmtId="4" fontId="32" fillId="0" borderId="0" xfId="0" applyNumberFormat="1" applyFont="1" applyAlignment="1">
      <alignment horizontal="center" vertical="center"/>
    </xf>
    <xf numFmtId="4" fontId="33" fillId="0" borderId="45" xfId="0" applyNumberFormat="1" applyFont="1" applyFill="1" applyBorder="1" applyAlignment="1">
      <alignment horizontal="right"/>
    </xf>
    <xf numFmtId="4" fontId="34" fillId="0" borderId="0" xfId="0" applyNumberFormat="1" applyFont="1" applyFill="1" applyAlignment="1"/>
    <xf numFmtId="4" fontId="34" fillId="0" borderId="0" xfId="0" applyNumberFormat="1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4" fontId="34" fillId="0" borderId="0" xfId="0" applyNumberFormat="1" applyFont="1" applyFill="1" applyAlignment="1">
      <alignment vertical="center" wrapText="1"/>
    </xf>
    <xf numFmtId="4" fontId="27" fillId="0" borderId="0" xfId="0" applyNumberFormat="1" applyFont="1" applyAlignment="1">
      <alignment horizontal="center"/>
    </xf>
    <xf numFmtId="4" fontId="27" fillId="0" borderId="0" xfId="0" applyNumberFormat="1" applyFont="1" applyFill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4" fillId="4" borderId="55" xfId="0" applyNumberFormat="1" applyFont="1" applyFill="1" applyBorder="1" applyAlignment="1">
      <alignment horizontal="right" vertical="center"/>
    </xf>
    <xf numFmtId="4" fontId="28" fillId="0" borderId="0" xfId="0" applyNumberFormat="1" applyFont="1" applyFill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vertical="center"/>
    </xf>
    <xf numFmtId="3" fontId="18" fillId="4" borderId="14" xfId="0" applyNumberFormat="1" applyFont="1" applyFill="1" applyBorder="1" applyAlignment="1">
      <alignment horizontal="center" vertical="center"/>
    </xf>
    <xf numFmtId="3" fontId="18" fillId="7" borderId="16" xfId="0" applyNumberFormat="1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right" vertical="center" wrapText="1"/>
    </xf>
    <xf numFmtId="4" fontId="4" fillId="4" borderId="18" xfId="0" applyNumberFormat="1" applyFont="1" applyFill="1" applyBorder="1" applyAlignment="1">
      <alignment horizontal="center" vertical="center"/>
    </xf>
    <xf numFmtId="0" fontId="36" fillId="8" borderId="0" xfId="13" applyFont="1" applyFill="1" applyAlignment="1" applyProtection="1"/>
    <xf numFmtId="0" fontId="36" fillId="0" borderId="40" xfId="13" applyFont="1" applyBorder="1" applyProtection="1"/>
    <xf numFmtId="164" fontId="36" fillId="0" borderId="1" xfId="13" applyNumberFormat="1" applyFont="1" applyBorder="1" applyAlignment="1" applyProtection="1">
      <alignment horizontal="center"/>
    </xf>
    <xf numFmtId="0" fontId="36" fillId="5" borderId="1" xfId="13" applyFont="1" applyFill="1" applyBorder="1" applyAlignment="1" applyProtection="1">
      <alignment horizontal="center"/>
    </xf>
    <xf numFmtId="164" fontId="36" fillId="0" borderId="41" xfId="13" applyNumberFormat="1" applyFont="1" applyBorder="1" applyAlignment="1" applyProtection="1">
      <alignment horizontal="center"/>
    </xf>
    <xf numFmtId="0" fontId="36" fillId="9" borderId="40" xfId="13" applyFont="1" applyFill="1" applyBorder="1" applyAlignment="1" applyProtection="1">
      <alignment horizontal="center" vertical="center"/>
    </xf>
    <xf numFmtId="10" fontId="36" fillId="10" borderId="1" xfId="13" applyNumberFormat="1" applyFont="1" applyFill="1" applyBorder="1" applyAlignment="1" applyProtection="1">
      <alignment horizontal="center"/>
    </xf>
    <xf numFmtId="10" fontId="36" fillId="5" borderId="1" xfId="13" applyNumberFormat="1" applyFont="1" applyFill="1" applyBorder="1" applyAlignment="1" applyProtection="1">
      <alignment horizontal="center"/>
    </xf>
    <xf numFmtId="10" fontId="36" fillId="0" borderId="41" xfId="13" applyNumberFormat="1" applyFont="1" applyBorder="1" applyAlignment="1" applyProtection="1">
      <alignment horizontal="center"/>
    </xf>
    <xf numFmtId="0" fontId="36" fillId="0" borderId="40" xfId="13" applyFont="1" applyFill="1" applyBorder="1" applyAlignment="1" applyProtection="1">
      <alignment horizontal="center" vertical="center"/>
    </xf>
    <xf numFmtId="10" fontId="36" fillId="11" borderId="41" xfId="14" applyNumberFormat="1" applyFont="1" applyFill="1" applyBorder="1" applyAlignment="1" applyProtection="1">
      <alignment horizontal="right" vertical="center"/>
    </xf>
    <xf numFmtId="10" fontId="36" fillId="9" borderId="41" xfId="14" applyNumberFormat="1" applyFont="1" applyFill="1" applyBorder="1" applyAlignment="1" applyProtection="1">
      <alignment vertical="center"/>
    </xf>
    <xf numFmtId="10" fontId="36" fillId="12" borderId="41" xfId="14" applyNumberFormat="1" applyFont="1" applyFill="1" applyBorder="1" applyAlignment="1" applyProtection="1"/>
    <xf numFmtId="0" fontId="36" fillId="8" borderId="0" xfId="13" applyFont="1" applyFill="1" applyAlignment="1" applyProtection="1">
      <alignment horizontal="center"/>
    </xf>
    <xf numFmtId="0" fontId="36" fillId="8" borderId="0" xfId="13" applyFont="1" applyFill="1" applyProtection="1"/>
    <xf numFmtId="10" fontId="38" fillId="9" borderId="41" xfId="14" applyNumberFormat="1" applyFont="1" applyFill="1" applyBorder="1" applyAlignment="1" applyProtection="1">
      <alignment vertical="center"/>
    </xf>
    <xf numFmtId="10" fontId="38" fillId="12" borderId="41" xfId="14" applyNumberFormat="1" applyFont="1" applyFill="1" applyBorder="1" applyAlignment="1" applyProtection="1"/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3" fontId="1" fillId="0" borderId="40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10" fontId="20" fillId="0" borderId="0" xfId="6" applyNumberFormat="1" applyFont="1" applyFill="1" applyAlignment="1">
      <alignment horizontal="center" vertical="center"/>
    </xf>
    <xf numFmtId="9" fontId="19" fillId="0" borderId="0" xfId="6" applyFont="1" applyFill="1" applyAlignment="1">
      <alignment vertical="center"/>
    </xf>
    <xf numFmtId="4" fontId="19" fillId="0" borderId="0" xfId="0" applyNumberFormat="1" applyFont="1" applyFill="1" applyAlignment="1">
      <alignment horizontal="center" vertical="center"/>
    </xf>
    <xf numFmtId="0" fontId="0" fillId="0" borderId="1" xfId="0" applyBorder="1"/>
    <xf numFmtId="3" fontId="1" fillId="0" borderId="1" xfId="0" applyNumberFormat="1" applyFont="1" applyBorder="1"/>
    <xf numFmtId="10" fontId="0" fillId="0" borderId="1" xfId="6" applyNumberFormat="1" applyFont="1" applyBorder="1"/>
    <xf numFmtId="3" fontId="1" fillId="0" borderId="34" xfId="0" applyNumberFormat="1" applyFont="1" applyBorder="1"/>
    <xf numFmtId="10" fontId="1" fillId="0" borderId="34" xfId="0" applyNumberFormat="1" applyFont="1" applyBorder="1"/>
    <xf numFmtId="10" fontId="0" fillId="0" borderId="34" xfId="6" applyNumberFormat="1" applyFont="1" applyBorder="1"/>
    <xf numFmtId="10" fontId="0" fillId="0" borderId="26" xfId="0" applyNumberFormat="1" applyBorder="1"/>
    <xf numFmtId="10" fontId="0" fillId="0" borderId="31" xfId="0" applyNumberFormat="1" applyBorder="1"/>
    <xf numFmtId="0" fontId="0" fillId="0" borderId="41" xfId="0" applyBorder="1"/>
    <xf numFmtId="10" fontId="0" fillId="0" borderId="41" xfId="6" applyNumberFormat="1" applyFont="1" applyBorder="1"/>
    <xf numFmtId="10" fontId="0" fillId="0" borderId="35" xfId="6" applyNumberFormat="1" applyFont="1" applyBorder="1"/>
    <xf numFmtId="10" fontId="0" fillId="0" borderId="70" xfId="0" applyNumberFormat="1" applyBorder="1"/>
    <xf numFmtId="10" fontId="0" fillId="0" borderId="71" xfId="0" applyNumberFormat="1" applyBorder="1"/>
    <xf numFmtId="0" fontId="0" fillId="0" borderId="5" xfId="0" applyBorder="1"/>
    <xf numFmtId="4" fontId="30" fillId="0" borderId="14" xfId="0" applyNumberFormat="1" applyFont="1" applyFill="1" applyBorder="1" applyAlignment="1">
      <alignment horizontal="centerContinuous"/>
    </xf>
    <xf numFmtId="4" fontId="31" fillId="0" borderId="16" xfId="0" applyNumberFormat="1" applyFont="1" applyFill="1" applyBorder="1" applyAlignment="1">
      <alignment horizontal="left"/>
    </xf>
    <xf numFmtId="4" fontId="30" fillId="0" borderId="16" xfId="0" applyNumberFormat="1" applyFont="1" applyFill="1" applyBorder="1" applyAlignment="1">
      <alignment horizontal="left"/>
    </xf>
    <xf numFmtId="4" fontId="29" fillId="0" borderId="16" xfId="0" applyNumberFormat="1" applyFont="1" applyBorder="1" applyAlignment="1"/>
    <xf numFmtId="4" fontId="19" fillId="0" borderId="0" xfId="0" applyNumberFormat="1" applyFont="1" applyFill="1" applyAlignment="1">
      <alignment horizontal="center" wrapText="1"/>
    </xf>
    <xf numFmtId="4" fontId="19" fillId="0" borderId="0" xfId="0" applyNumberFormat="1" applyFont="1" applyFill="1" applyAlignment="1">
      <alignment horizontal="center"/>
    </xf>
    <xf numFmtId="4" fontId="28" fillId="5" borderId="0" xfId="0" applyNumberFormat="1" applyFont="1" applyFill="1" applyAlignment="1"/>
    <xf numFmtId="0" fontId="28" fillId="5" borderId="0" xfId="0" applyFont="1" applyFill="1" applyAlignment="1"/>
    <xf numFmtId="4" fontId="28" fillId="5" borderId="0" xfId="0" applyNumberFormat="1" applyFont="1" applyFill="1" applyAlignment="1">
      <alignment vertical="center"/>
    </xf>
    <xf numFmtId="4" fontId="28" fillId="5" borderId="0" xfId="0" applyNumberFormat="1" applyFont="1" applyFill="1" applyAlignment="1">
      <alignment horizontal="center" vertical="center"/>
    </xf>
    <xf numFmtId="4" fontId="34" fillId="5" borderId="0" xfId="0" applyNumberFormat="1" applyFont="1" applyFill="1" applyAlignment="1">
      <alignment vertical="center"/>
    </xf>
    <xf numFmtId="3" fontId="4" fillId="7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/>
    </xf>
    <xf numFmtId="166" fontId="18" fillId="5" borderId="1" xfId="0" applyNumberFormat="1" applyFont="1" applyFill="1" applyBorder="1" applyAlignment="1">
      <alignment horizontal="right" vertical="center"/>
    </xf>
    <xf numFmtId="4" fontId="18" fillId="5" borderId="1" xfId="0" applyNumberFormat="1" applyFont="1" applyFill="1" applyBorder="1" applyAlignment="1">
      <alignment horizontal="right" vertical="center"/>
    </xf>
    <xf numFmtId="4" fontId="18" fillId="5" borderId="1" xfId="0" applyNumberFormat="1" applyFont="1" applyFill="1" applyBorder="1" applyAlignment="1">
      <alignment horizontal="center" vertical="center"/>
    </xf>
    <xf numFmtId="3" fontId="4" fillId="4" borderId="40" xfId="0" applyNumberFormat="1" applyFont="1" applyFill="1" applyBorder="1" applyAlignment="1">
      <alignment horizontal="center" vertical="center"/>
    </xf>
    <xf numFmtId="4" fontId="4" fillId="4" borderId="41" xfId="0" applyNumberFormat="1" applyFont="1" applyFill="1" applyBorder="1" applyAlignment="1">
      <alignment horizontal="right" vertical="center"/>
    </xf>
    <xf numFmtId="0" fontId="18" fillId="5" borderId="40" xfId="0" quotePrefix="1" applyFont="1" applyFill="1" applyBorder="1" applyAlignment="1">
      <alignment horizontal="center" vertical="center"/>
    </xf>
    <xf numFmtId="4" fontId="18" fillId="5" borderId="41" xfId="8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center" wrapText="1"/>
    </xf>
    <xf numFmtId="4" fontId="28" fillId="0" borderId="0" xfId="0" applyNumberFormat="1" applyFont="1" applyFill="1" applyBorder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27" fillId="0" borderId="13" xfId="0" applyNumberFormat="1" applyFont="1" applyFill="1" applyBorder="1" applyAlignment="1"/>
    <xf numFmtId="4" fontId="27" fillId="0" borderId="13" xfId="0" applyNumberFormat="1" applyFont="1" applyBorder="1" applyAlignment="1">
      <alignment horizontal="center"/>
    </xf>
    <xf numFmtId="4" fontId="28" fillId="0" borderId="13" xfId="0" applyNumberFormat="1" applyFont="1" applyFill="1" applyBorder="1" applyAlignment="1"/>
    <xf numFmtId="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/>
    <xf numFmtId="3" fontId="28" fillId="5" borderId="14" xfId="0" applyNumberFormat="1" applyFont="1" applyFill="1" applyBorder="1" applyAlignment="1">
      <alignment horizontal="center"/>
    </xf>
    <xf numFmtId="3" fontId="28" fillId="5" borderId="16" xfId="0" applyNumberFormat="1" applyFont="1" applyFill="1" applyBorder="1" applyAlignment="1">
      <alignment horizontal="center"/>
    </xf>
    <xf numFmtId="4" fontId="28" fillId="5" borderId="16" xfId="0" applyNumberFormat="1" applyFont="1" applyFill="1" applyBorder="1" applyAlignment="1">
      <alignment wrapText="1"/>
    </xf>
    <xf numFmtId="4" fontId="28" fillId="5" borderId="16" xfId="0" applyNumberFormat="1" applyFont="1" applyFill="1" applyBorder="1" applyAlignment="1">
      <alignment horizontal="left"/>
    </xf>
    <xf numFmtId="4" fontId="28" fillId="5" borderId="16" xfId="0" applyNumberFormat="1" applyFont="1" applyFill="1" applyBorder="1" applyAlignment="1">
      <alignment horizontal="right"/>
    </xf>
    <xf numFmtId="0" fontId="28" fillId="5" borderId="16" xfId="0" applyFont="1" applyFill="1" applyBorder="1" applyAlignment="1"/>
    <xf numFmtId="4" fontId="28" fillId="5" borderId="18" xfId="0" applyNumberFormat="1" applyFont="1" applyFill="1" applyBorder="1" applyAlignment="1"/>
    <xf numFmtId="0" fontId="0" fillId="0" borderId="10" xfId="0" applyBorder="1"/>
    <xf numFmtId="0" fontId="0" fillId="0" borderId="14" xfId="0" applyBorder="1"/>
    <xf numFmtId="4" fontId="32" fillId="5" borderId="0" xfId="0" applyNumberFormat="1" applyFont="1" applyFill="1" applyAlignment="1">
      <alignment horizontal="center"/>
    </xf>
    <xf numFmtId="4" fontId="32" fillId="5" borderId="0" xfId="0" applyNumberFormat="1" applyFont="1" applyFill="1" applyAlignment="1">
      <alignment horizontal="center" vertical="center"/>
    </xf>
    <xf numFmtId="0" fontId="33" fillId="5" borderId="45" xfId="0" applyFont="1" applyFill="1" applyBorder="1" applyAlignment="1">
      <alignment horizontal="right"/>
    </xf>
    <xf numFmtId="4" fontId="27" fillId="5" borderId="0" xfId="0" applyNumberFormat="1" applyFont="1" applyFill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22" fillId="0" borderId="2" xfId="3" applyNumberFormat="1" applyFont="1" applyFill="1" applyBorder="1" applyAlignment="1">
      <alignment horizontal="centerContinuous"/>
    </xf>
    <xf numFmtId="0" fontId="22" fillId="0" borderId="3" xfId="3" applyNumberFormat="1" applyFont="1" applyFill="1" applyBorder="1" applyAlignment="1">
      <alignment horizontal="centerContinuous"/>
    </xf>
    <xf numFmtId="4" fontId="2" fillId="0" borderId="3" xfId="3" applyNumberFormat="1" applyFont="1" applyFill="1" applyBorder="1" applyAlignment="1">
      <alignment horizontal="centerContinuous"/>
    </xf>
    <xf numFmtId="4" fontId="22" fillId="0" borderId="3" xfId="3" applyNumberFormat="1" applyFont="1" applyFill="1" applyBorder="1" applyAlignment="1">
      <alignment horizontal="left"/>
    </xf>
    <xf numFmtId="4" fontId="22" fillId="0" borderId="3" xfId="3" applyNumberFormat="1" applyFont="1" applyFill="1" applyBorder="1" applyAlignment="1">
      <alignment horizontal="centerContinuous"/>
    </xf>
    <xf numFmtId="4" fontId="19" fillId="0" borderId="3" xfId="3" applyNumberFormat="1" applyFont="1" applyBorder="1" applyAlignment="1"/>
    <xf numFmtId="4" fontId="19" fillId="0" borderId="5" xfId="3" applyNumberFormat="1" applyFont="1" applyBorder="1" applyAlignment="1"/>
    <xf numFmtId="4" fontId="22" fillId="0" borderId="10" xfId="3" applyNumberFormat="1" applyFont="1" applyFill="1" applyBorder="1" applyAlignment="1">
      <alignment horizontal="centerContinuous"/>
    </xf>
    <xf numFmtId="0" fontId="22" fillId="0" borderId="0" xfId="3" applyNumberFormat="1" applyFont="1" applyFill="1" applyBorder="1" applyAlignment="1">
      <alignment horizontal="centerContinuous"/>
    </xf>
    <xf numFmtId="4" fontId="19" fillId="0" borderId="13" xfId="3" applyNumberFormat="1" applyFont="1" applyBorder="1" applyAlignment="1"/>
    <xf numFmtId="4" fontId="20" fillId="0" borderId="10" xfId="3" applyNumberFormat="1" applyFont="1" applyFill="1" applyBorder="1" applyAlignment="1">
      <alignment horizontal="centerContinuous"/>
    </xf>
    <xf numFmtId="0" fontId="20" fillId="0" borderId="0" xfId="3" applyNumberFormat="1" applyFont="1" applyFill="1" applyBorder="1" applyAlignment="1">
      <alignment horizontal="centerContinuous"/>
    </xf>
    <xf numFmtId="4" fontId="20" fillId="0" borderId="0" xfId="3" applyNumberFormat="1" applyFont="1" applyFill="1" applyBorder="1" applyAlignment="1">
      <alignment horizontal="centerContinuous"/>
    </xf>
    <xf numFmtId="4" fontId="20" fillId="0" borderId="0" xfId="3" applyNumberFormat="1" applyFont="1" applyFill="1" applyBorder="1" applyAlignment="1">
      <alignment horizontal="left"/>
    </xf>
    <xf numFmtId="4" fontId="19" fillId="0" borderId="0" xfId="3" applyNumberFormat="1" applyFont="1" applyBorder="1" applyAlignment="1"/>
    <xf numFmtId="0" fontId="2" fillId="0" borderId="10" xfId="3" applyFont="1" applyFill="1" applyBorder="1" applyAlignment="1"/>
    <xf numFmtId="0" fontId="2" fillId="0" borderId="0" xfId="3" applyNumberFormat="1" applyFont="1" applyFill="1" applyBorder="1" applyAlignment="1"/>
    <xf numFmtId="0" fontId="22" fillId="0" borderId="10" xfId="3" applyFont="1" applyFill="1" applyBorder="1" applyAlignment="1"/>
    <xf numFmtId="0" fontId="22" fillId="0" borderId="0" xfId="3" applyNumberFormat="1" applyFont="1" applyFill="1" applyBorder="1" applyAlignment="1"/>
    <xf numFmtId="0" fontId="22" fillId="0" borderId="0" xfId="3" applyFont="1" applyFill="1" applyBorder="1" applyAlignment="1"/>
    <xf numFmtId="0" fontId="22" fillId="0" borderId="0" xfId="3" applyFont="1" applyFill="1" applyBorder="1" applyAlignment="1">
      <alignment horizontal="left"/>
    </xf>
    <xf numFmtId="4" fontId="22" fillId="0" borderId="0" xfId="3" applyNumberFormat="1" applyFont="1" applyFill="1" applyBorder="1" applyAlignment="1"/>
    <xf numFmtId="0" fontId="21" fillId="0" borderId="10" xfId="3" applyFont="1" applyFill="1" applyBorder="1" applyAlignment="1"/>
    <xf numFmtId="0" fontId="21" fillId="0" borderId="0" xfId="3" applyNumberFormat="1" applyFont="1" applyFill="1" applyBorder="1" applyAlignment="1"/>
    <xf numFmtId="0" fontId="21" fillId="0" borderId="0" xfId="3" applyFont="1" applyFill="1" applyBorder="1" applyAlignment="1"/>
    <xf numFmtId="0" fontId="21" fillId="0" borderId="0" xfId="3" applyFont="1" applyFill="1" applyBorder="1" applyAlignment="1">
      <alignment horizontal="left"/>
    </xf>
    <xf numFmtId="4" fontId="21" fillId="0" borderId="0" xfId="3" applyNumberFormat="1" applyFont="1" applyFill="1" applyBorder="1" applyAlignment="1"/>
    <xf numFmtId="0" fontId="14" fillId="0" borderId="40" xfId="3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vertical="center"/>
    </xf>
    <xf numFmtId="4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wrapText="1"/>
    </xf>
    <xf numFmtId="0" fontId="4" fillId="0" borderId="13" xfId="3" applyFont="1" applyFill="1" applyBorder="1" applyAlignment="1">
      <alignment horizontal="center" wrapText="1"/>
    </xf>
    <xf numFmtId="3" fontId="28" fillId="5" borderId="0" xfId="0" applyNumberFormat="1" applyFont="1" applyFill="1" applyAlignment="1">
      <alignment horizontal="center"/>
    </xf>
    <xf numFmtId="4" fontId="28" fillId="5" borderId="0" xfId="0" applyNumberFormat="1" applyFont="1" applyFill="1" applyAlignment="1">
      <alignment wrapText="1"/>
    </xf>
    <xf numFmtId="4" fontId="28" fillId="5" borderId="0" xfId="0" applyNumberFormat="1" applyFont="1" applyFill="1" applyAlignment="1">
      <alignment horizontal="left"/>
    </xf>
    <xf numFmtId="4" fontId="28" fillId="5" borderId="0" xfId="0" applyNumberFormat="1" applyFont="1" applyFill="1" applyAlignment="1">
      <alignment horizontal="right"/>
    </xf>
    <xf numFmtId="4" fontId="27" fillId="5" borderId="0" xfId="0" applyNumberFormat="1" applyFont="1" applyFill="1" applyAlignment="1"/>
    <xf numFmtId="0" fontId="0" fillId="5" borderId="0" xfId="0" applyFill="1"/>
    <xf numFmtId="3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0" fontId="11" fillId="4" borderId="74" xfId="3" applyFont="1" applyFill="1" applyBorder="1" applyAlignment="1">
      <alignment horizontal="center"/>
    </xf>
    <xf numFmtId="0" fontId="11" fillId="4" borderId="73" xfId="3" applyNumberFormat="1" applyFont="1" applyFill="1" applyBorder="1" applyAlignment="1">
      <alignment horizontal="center"/>
    </xf>
    <xf numFmtId="49" fontId="11" fillId="4" borderId="72" xfId="3" applyNumberFormat="1" applyFont="1" applyFill="1" applyBorder="1" applyAlignment="1">
      <alignment wrapText="1"/>
    </xf>
    <xf numFmtId="0" fontId="14" fillId="4" borderId="72" xfId="3" applyFont="1" applyFill="1" applyBorder="1" applyAlignment="1">
      <alignment horizontal="left"/>
    </xf>
    <xf numFmtId="166" fontId="11" fillId="4" borderId="72" xfId="3" applyNumberFormat="1" applyFont="1" applyFill="1" applyBorder="1" applyAlignment="1">
      <alignment horizontal="right"/>
    </xf>
    <xf numFmtId="4" fontId="11" fillId="4" borderId="72" xfId="3" applyNumberFormat="1" applyFont="1" applyFill="1" applyBorder="1" applyAlignment="1">
      <alignment horizontal="right"/>
    </xf>
    <xf numFmtId="4" fontId="14" fillId="4" borderId="75" xfId="9" applyNumberFormat="1" applyFont="1" applyFill="1" applyBorder="1" applyAlignment="1">
      <alignment horizontal="right"/>
    </xf>
    <xf numFmtId="0" fontId="11" fillId="5" borderId="1" xfId="3" applyNumberFormat="1" applyFont="1" applyFill="1" applyBorder="1" applyAlignment="1">
      <alignment horizontal="right"/>
    </xf>
    <xf numFmtId="4" fontId="11" fillId="5" borderId="1" xfId="3" applyNumberFormat="1" applyFont="1" applyFill="1" applyBorder="1" applyAlignment="1">
      <alignment horizontal="right"/>
    </xf>
    <xf numFmtId="3" fontId="11" fillId="5" borderId="40" xfId="0" applyNumberFormat="1" applyFont="1" applyFill="1" applyBorder="1" applyAlignment="1">
      <alignment horizontal="center" vertical="center"/>
    </xf>
    <xf numFmtId="4" fontId="11" fillId="5" borderId="41" xfId="9" applyNumberFormat="1" applyFont="1" applyFill="1" applyBorder="1" applyAlignment="1">
      <alignment horizontal="right"/>
    </xf>
    <xf numFmtId="182" fontId="34" fillId="0" borderId="0" xfId="0" applyNumberFormat="1" applyFont="1" applyFill="1" applyAlignment="1">
      <alignment vertical="center"/>
    </xf>
    <xf numFmtId="4" fontId="0" fillId="0" borderId="0" xfId="0" applyNumberFormat="1"/>
    <xf numFmtId="4" fontId="19" fillId="0" borderId="0" xfId="0" applyNumberFormat="1" applyFont="1" applyFill="1" applyAlignment="1">
      <alignment horizontal="center"/>
    </xf>
    <xf numFmtId="4" fontId="3" fillId="0" borderId="53" xfId="0" applyNumberFormat="1" applyFont="1" applyFill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>
      <alignment horizontal="center" vertical="center"/>
    </xf>
    <xf numFmtId="4" fontId="4" fillId="4" borderId="68" xfId="0" applyNumberFormat="1" applyFont="1" applyFill="1" applyBorder="1" applyAlignment="1">
      <alignment horizontal="center"/>
    </xf>
    <xf numFmtId="4" fontId="4" fillId="4" borderId="57" xfId="0" applyNumberFormat="1" applyFont="1" applyFill="1" applyBorder="1" applyAlignment="1">
      <alignment horizontal="center"/>
    </xf>
    <xf numFmtId="4" fontId="4" fillId="4" borderId="58" xfId="0" applyNumberFormat="1" applyFont="1" applyFill="1" applyBorder="1" applyAlignment="1">
      <alignment horizontal="center"/>
    </xf>
    <xf numFmtId="4" fontId="4" fillId="0" borderId="53" xfId="0" applyNumberFormat="1" applyFont="1" applyFill="1" applyBorder="1" applyAlignment="1">
      <alignment horizontal="center" vertical="center"/>
    </xf>
    <xf numFmtId="4" fontId="4" fillId="0" borderId="48" xfId="0" applyNumberFormat="1" applyFont="1" applyFill="1" applyBorder="1" applyAlignment="1">
      <alignment horizontal="center" vertical="center"/>
    </xf>
    <xf numFmtId="4" fontId="4" fillId="0" borderId="55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4" fontId="30" fillId="0" borderId="1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 vertical="center" wrapText="1"/>
    </xf>
    <xf numFmtId="4" fontId="30" fillId="0" borderId="13" xfId="0" applyNumberFormat="1" applyFont="1" applyFill="1" applyBorder="1" applyAlignment="1">
      <alignment horizontal="center" vertical="center" wrapText="1"/>
    </xf>
    <xf numFmtId="4" fontId="30" fillId="0" borderId="10" xfId="0" applyNumberFormat="1" applyFont="1" applyFill="1" applyBorder="1" applyAlignment="1">
      <alignment horizontal="center" wrapText="1"/>
    </xf>
    <xf numFmtId="4" fontId="30" fillId="0" borderId="0" xfId="0" applyNumberFormat="1" applyFont="1" applyFill="1" applyBorder="1" applyAlignment="1">
      <alignment horizontal="center" wrapText="1"/>
    </xf>
    <xf numFmtId="4" fontId="30" fillId="0" borderId="13" xfId="0" applyNumberFormat="1" applyFont="1" applyFill="1" applyBorder="1" applyAlignment="1">
      <alignment horizontal="center" wrapText="1"/>
    </xf>
    <xf numFmtId="4" fontId="20" fillId="0" borderId="0" xfId="0" applyNumberFormat="1" applyFont="1" applyBorder="1" applyAlignment="1">
      <alignment horizontal="left" vertical="center" wrapText="1"/>
    </xf>
    <xf numFmtId="4" fontId="20" fillId="0" borderId="13" xfId="0" applyNumberFormat="1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center" wrapText="1"/>
    </xf>
    <xf numFmtId="4" fontId="19" fillId="0" borderId="0" xfId="0" applyNumberFormat="1" applyFont="1" applyFill="1" applyBorder="1" applyAlignment="1">
      <alignment horizontal="center"/>
    </xf>
    <xf numFmtId="4" fontId="4" fillId="4" borderId="16" xfId="0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 applyBorder="1" applyAlignment="1">
      <alignment horizontal="center" vertical="center" wrapText="1"/>
    </xf>
    <xf numFmtId="4" fontId="31" fillId="0" borderId="13" xfId="0" applyNumberFormat="1" applyFont="1" applyFill="1" applyBorder="1" applyAlignment="1">
      <alignment horizontal="center" vertical="center" wrapText="1"/>
    </xf>
    <xf numFmtId="4" fontId="4" fillId="4" borderId="48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horizontal="center" wrapText="1"/>
    </xf>
    <xf numFmtId="4" fontId="4" fillId="0" borderId="51" xfId="0" applyNumberFormat="1" applyFont="1" applyFill="1" applyBorder="1" applyAlignment="1">
      <alignment horizontal="center" wrapText="1"/>
    </xf>
    <xf numFmtId="4" fontId="4" fillId="0" borderId="34" xfId="0" applyNumberFormat="1" applyFont="1" applyFill="1" applyBorder="1" applyAlignment="1">
      <alignment horizontal="center" vertical="center"/>
    </xf>
    <xf numFmtId="4" fontId="4" fillId="0" borderId="51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48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0" fillId="1" borderId="1" xfId="0" applyNumberForma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3" fillId="0" borderId="61" xfId="0" applyNumberFormat="1" applyFont="1" applyBorder="1" applyAlignment="1">
      <alignment vertical="center"/>
    </xf>
    <xf numFmtId="4" fontId="2" fillId="0" borderId="38" xfId="0" applyNumberFormat="1" applyFont="1" applyBorder="1" applyAlignment="1">
      <alignment vertical="center"/>
    </xf>
    <xf numFmtId="4" fontId="2" fillId="0" borderId="62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2" fillId="0" borderId="63" xfId="0" quotePrefix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2" fillId="0" borderId="63" xfId="0" applyFon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justify"/>
    </xf>
    <xf numFmtId="0" fontId="0" fillId="0" borderId="0" xfId="0" applyAlignment="1"/>
    <xf numFmtId="0" fontId="0" fillId="0" borderId="0" xfId="0" applyBorder="1" applyAlignment="1"/>
    <xf numFmtId="0" fontId="2" fillId="0" borderId="1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3" fillId="0" borderId="0" xfId="0" applyFont="1" applyBorder="1" applyAlignment="1">
      <alignment horizontal="justify"/>
    </xf>
    <xf numFmtId="3" fontId="28" fillId="5" borderId="10" xfId="0" applyNumberFormat="1" applyFont="1" applyFill="1" applyBorder="1" applyAlignment="1">
      <alignment horizontal="center"/>
    </xf>
    <xf numFmtId="3" fontId="28" fillId="5" borderId="0" xfId="0" applyNumberFormat="1" applyFont="1" applyFill="1" applyBorder="1" applyAlignment="1">
      <alignment horizontal="center"/>
    </xf>
    <xf numFmtId="4" fontId="28" fillId="5" borderId="0" xfId="0" applyNumberFormat="1" applyFont="1" applyFill="1" applyBorder="1" applyAlignment="1">
      <alignment horizontal="center"/>
    </xf>
    <xf numFmtId="4" fontId="28" fillId="5" borderId="13" xfId="0" applyNumberFormat="1" applyFont="1" applyFill="1" applyBorder="1" applyAlignment="1">
      <alignment horizontal="center"/>
    </xf>
    <xf numFmtId="3" fontId="28" fillId="5" borderId="14" xfId="0" applyNumberFormat="1" applyFont="1" applyFill="1" applyBorder="1" applyAlignment="1">
      <alignment horizontal="center"/>
    </xf>
    <xf numFmtId="3" fontId="28" fillId="5" borderId="16" xfId="0" applyNumberFormat="1" applyFont="1" applyFill="1" applyBorder="1" applyAlignment="1">
      <alignment horizontal="center"/>
    </xf>
    <xf numFmtId="4" fontId="28" fillId="5" borderId="16" xfId="0" applyNumberFormat="1" applyFont="1" applyFill="1" applyBorder="1" applyAlignment="1">
      <alignment horizontal="center"/>
    </xf>
    <xf numFmtId="4" fontId="28" fillId="5" borderId="18" xfId="0" applyNumberFormat="1" applyFont="1" applyFill="1" applyBorder="1" applyAlignment="1">
      <alignment horizontal="center"/>
    </xf>
    <xf numFmtId="4" fontId="2" fillId="0" borderId="0" xfId="3" applyNumberFormat="1" applyFont="1" applyFill="1" applyBorder="1" applyAlignment="1">
      <alignment horizontal="left"/>
    </xf>
    <xf numFmtId="4" fontId="2" fillId="0" borderId="0" xfId="3" applyNumberFormat="1" applyFont="1" applyFill="1" applyBorder="1" applyAlignment="1">
      <alignment horizontal="center"/>
    </xf>
    <xf numFmtId="4" fontId="2" fillId="0" borderId="13" xfId="3" applyNumberFormat="1" applyFont="1" applyFill="1" applyBorder="1" applyAlignment="1">
      <alignment horizontal="center"/>
    </xf>
    <xf numFmtId="0" fontId="4" fillId="0" borderId="61" xfId="3" applyFont="1" applyFill="1" applyBorder="1" applyAlignment="1">
      <alignment horizontal="center"/>
    </xf>
    <xf numFmtId="0" fontId="4" fillId="0" borderId="38" xfId="3" applyFont="1" applyFill="1" applyBorder="1" applyAlignment="1">
      <alignment horizontal="center"/>
    </xf>
    <xf numFmtId="0" fontId="4" fillId="0" borderId="62" xfId="3" applyFont="1" applyFill="1" applyBorder="1" applyAlignment="1">
      <alignment horizontal="center"/>
    </xf>
    <xf numFmtId="3" fontId="28" fillId="5" borderId="13" xfId="0" applyNumberFormat="1" applyFont="1" applyFill="1" applyBorder="1" applyAlignment="1">
      <alignment horizontal="center"/>
    </xf>
    <xf numFmtId="4" fontId="19" fillId="0" borderId="0" xfId="0" applyNumberFormat="1" applyFont="1" applyFill="1" applyAlignment="1">
      <alignment horizontal="center" wrapText="1"/>
    </xf>
    <xf numFmtId="0" fontId="35" fillId="9" borderId="33" xfId="13" applyFont="1" applyFill="1" applyBorder="1" applyAlignment="1" applyProtection="1">
      <alignment horizontal="center" vertical="center" wrapText="1"/>
    </xf>
    <xf numFmtId="0" fontId="35" fillId="9" borderId="25" xfId="13" applyFont="1" applyFill="1" applyBorder="1" applyAlignment="1" applyProtection="1">
      <alignment horizontal="center" vertical="center"/>
    </xf>
    <xf numFmtId="0" fontId="35" fillId="9" borderId="67" xfId="13" applyFont="1" applyFill="1" applyBorder="1" applyAlignment="1" applyProtection="1">
      <alignment horizontal="center" vertical="center"/>
    </xf>
    <xf numFmtId="0" fontId="35" fillId="9" borderId="14" xfId="13" applyFont="1" applyFill="1" applyBorder="1" applyAlignment="1" applyProtection="1">
      <alignment horizontal="center" vertical="center"/>
    </xf>
    <xf numFmtId="0" fontId="35" fillId="9" borderId="16" xfId="13" applyFont="1" applyFill="1" applyBorder="1" applyAlignment="1" applyProtection="1">
      <alignment horizontal="center" vertical="center"/>
    </xf>
    <xf numFmtId="0" fontId="35" fillId="9" borderId="18" xfId="13" applyFont="1" applyFill="1" applyBorder="1" applyAlignment="1" applyProtection="1">
      <alignment horizontal="center" vertical="center"/>
    </xf>
    <xf numFmtId="0" fontId="37" fillId="0" borderId="40" xfId="13" applyFont="1" applyBorder="1" applyAlignment="1" applyProtection="1">
      <alignment horizontal="center" vertical="center"/>
    </xf>
    <xf numFmtId="10" fontId="37" fillId="10" borderId="34" xfId="13" applyNumberFormat="1" applyFont="1" applyFill="1" applyBorder="1" applyAlignment="1" applyProtection="1">
      <alignment horizontal="center" vertical="center"/>
    </xf>
    <xf numFmtId="10" fontId="37" fillId="10" borderId="51" xfId="13" applyNumberFormat="1" applyFont="1" applyFill="1" applyBorder="1" applyAlignment="1" applyProtection="1">
      <alignment horizontal="center" vertical="center"/>
    </xf>
    <xf numFmtId="10" fontId="37" fillId="5" borderId="34" xfId="13" applyNumberFormat="1" applyFont="1" applyFill="1" applyBorder="1" applyAlignment="1" applyProtection="1">
      <alignment horizontal="center" vertical="center"/>
    </xf>
    <xf numFmtId="10" fontId="37" fillId="5" borderId="51" xfId="13" applyNumberFormat="1" applyFont="1" applyFill="1" applyBorder="1" applyAlignment="1" applyProtection="1">
      <alignment horizontal="center" vertical="center"/>
    </xf>
    <xf numFmtId="0" fontId="36" fillId="0" borderId="1" xfId="13" applyFont="1" applyFill="1" applyBorder="1" applyAlignment="1" applyProtection="1">
      <alignment horizontal="left"/>
    </xf>
    <xf numFmtId="0" fontId="36" fillId="0" borderId="41" xfId="13" applyFont="1" applyFill="1" applyBorder="1" applyAlignment="1" applyProtection="1">
      <alignment horizontal="left"/>
    </xf>
    <xf numFmtId="0" fontId="36" fillId="9" borderId="40" xfId="13" applyFont="1" applyFill="1" applyBorder="1" applyAlignment="1" applyProtection="1">
      <alignment horizontal="center" vertical="center"/>
    </xf>
    <xf numFmtId="0" fontId="36" fillId="11" borderId="53" xfId="13" applyFont="1" applyFill="1" applyBorder="1" applyAlignment="1" applyProtection="1">
      <alignment horizontal="left"/>
    </xf>
    <xf numFmtId="0" fontId="36" fillId="11" borderId="48" xfId="13" applyFont="1" applyFill="1" applyBorder="1" applyAlignment="1" applyProtection="1">
      <alignment horizontal="left"/>
    </xf>
    <xf numFmtId="0" fontId="36" fillId="11" borderId="47" xfId="13" applyFont="1" applyFill="1" applyBorder="1" applyAlignment="1" applyProtection="1">
      <alignment horizontal="left"/>
    </xf>
    <xf numFmtId="0" fontId="36" fillId="12" borderId="40" xfId="13" applyFont="1" applyFill="1" applyBorder="1" applyAlignment="1" applyProtection="1">
      <alignment horizontal="center" vertical="center"/>
    </xf>
    <xf numFmtId="0" fontId="36" fillId="12" borderId="1" xfId="13" applyFont="1" applyFill="1" applyBorder="1" applyAlignment="1" applyProtection="1">
      <alignment horizontal="center" vertical="center"/>
    </xf>
    <xf numFmtId="0" fontId="36" fillId="12" borderId="41" xfId="13" applyFont="1" applyFill="1" applyBorder="1" applyAlignment="1" applyProtection="1">
      <alignment horizontal="center" vertical="center"/>
    </xf>
    <xf numFmtId="0" fontId="36" fillId="9" borderId="53" xfId="13" applyFont="1" applyFill="1" applyBorder="1" applyAlignment="1" applyProtection="1">
      <alignment horizontal="left"/>
    </xf>
    <xf numFmtId="0" fontId="36" fillId="9" borderId="48" xfId="13" applyFont="1" applyFill="1" applyBorder="1" applyAlignment="1" applyProtection="1">
      <alignment horizontal="left"/>
    </xf>
    <xf numFmtId="0" fontId="36" fillId="9" borderId="47" xfId="13" applyFont="1" applyFill="1" applyBorder="1" applyAlignment="1" applyProtection="1">
      <alignment horizontal="left"/>
    </xf>
    <xf numFmtId="0" fontId="36" fillId="12" borderId="53" xfId="13" applyFont="1" applyFill="1" applyBorder="1" applyAlignment="1" applyProtection="1">
      <alignment horizontal="left"/>
    </xf>
    <xf numFmtId="0" fontId="36" fillId="12" borderId="48" xfId="13" applyFont="1" applyFill="1" applyBorder="1" applyAlignment="1" applyProtection="1">
      <alignment horizontal="left"/>
    </xf>
    <xf numFmtId="0" fontId="36" fillId="12" borderId="47" xfId="13" applyFont="1" applyFill="1" applyBorder="1" applyAlignment="1" applyProtection="1">
      <alignment horizontal="left"/>
    </xf>
    <xf numFmtId="0" fontId="36" fillId="10" borderId="40" xfId="13" applyFont="1" applyFill="1" applyBorder="1" applyAlignment="1" applyProtection="1">
      <alignment horizontal="center" vertical="center"/>
    </xf>
    <xf numFmtId="0" fontId="36" fillId="10" borderId="1" xfId="13" applyFont="1" applyFill="1" applyBorder="1" applyAlignment="1" applyProtection="1">
      <alignment horizontal="center" vertical="center"/>
    </xf>
    <xf numFmtId="0" fontId="36" fillId="10" borderId="34" xfId="13" applyFont="1" applyFill="1" applyBorder="1" applyAlignment="1" applyProtection="1">
      <alignment horizontal="center" vertical="center"/>
    </xf>
    <xf numFmtId="0" fontId="36" fillId="10" borderId="41" xfId="13" applyFont="1" applyFill="1" applyBorder="1" applyAlignment="1" applyProtection="1">
      <alignment horizontal="center" vertical="center"/>
    </xf>
    <xf numFmtId="0" fontId="36" fillId="0" borderId="66" xfId="13" applyFont="1" applyBorder="1" applyAlignment="1" applyProtection="1">
      <alignment horizontal="center" vertical="center"/>
    </xf>
    <xf numFmtId="0" fontId="36" fillId="0" borderId="65" xfId="13" applyFont="1" applyBorder="1" applyAlignment="1" applyProtection="1">
      <alignment horizontal="center" vertical="center"/>
    </xf>
    <xf numFmtId="0" fontId="37" fillId="0" borderId="4" xfId="13" applyFont="1" applyBorder="1" applyAlignment="1" applyProtection="1">
      <alignment horizontal="center" vertical="center" wrapText="1"/>
    </xf>
    <xf numFmtId="0" fontId="37" fillId="0" borderId="3" xfId="13" applyFont="1" applyBorder="1" applyAlignment="1" applyProtection="1">
      <alignment horizontal="center" vertical="center" wrapText="1"/>
    </xf>
    <xf numFmtId="0" fontId="37" fillId="0" borderId="5" xfId="13" applyFont="1" applyBorder="1" applyAlignment="1" applyProtection="1">
      <alignment horizontal="center" vertical="center" wrapText="1"/>
    </xf>
    <xf numFmtId="0" fontId="37" fillId="0" borderId="8" xfId="13" applyFont="1" applyBorder="1" applyAlignment="1" applyProtection="1">
      <alignment horizontal="center" vertical="center" wrapText="1"/>
    </xf>
    <xf numFmtId="0" fontId="37" fillId="0" borderId="7" xfId="13" applyFont="1" applyBorder="1" applyAlignment="1" applyProtection="1">
      <alignment horizontal="center" vertical="center" wrapText="1"/>
    </xf>
    <xf numFmtId="0" fontId="37" fillId="0" borderId="9" xfId="13" applyFont="1" applyBorder="1" applyAlignment="1" applyProtection="1">
      <alignment horizontal="center" vertical="center" wrapText="1"/>
    </xf>
    <xf numFmtId="0" fontId="36" fillId="0" borderId="32" xfId="13" applyFont="1" applyFill="1" applyBorder="1" applyAlignment="1" applyProtection="1">
      <alignment horizontal="center"/>
    </xf>
    <xf numFmtId="0" fontId="36" fillId="0" borderId="21" xfId="13" applyFont="1" applyFill="1" applyBorder="1" applyAlignment="1" applyProtection="1">
      <alignment horizontal="center"/>
    </xf>
    <xf numFmtId="0" fontId="36" fillId="0" borderId="39" xfId="13" applyFont="1" applyFill="1" applyBorder="1" applyAlignment="1" applyProtection="1">
      <alignment horizontal="center"/>
    </xf>
    <xf numFmtId="0" fontId="36" fillId="9" borderId="1" xfId="13" applyFont="1" applyFill="1" applyBorder="1" applyAlignment="1" applyProtection="1">
      <alignment horizontal="left"/>
    </xf>
    <xf numFmtId="0" fontId="36" fillId="9" borderId="41" xfId="13" applyFont="1" applyFill="1" applyBorder="1" applyAlignment="1" applyProtection="1">
      <alignment horizontal="left"/>
    </xf>
    <xf numFmtId="0" fontId="37" fillId="0" borderId="4" xfId="13" applyFont="1" applyBorder="1" applyAlignment="1" applyProtection="1">
      <alignment horizontal="center" vertical="center"/>
    </xf>
    <xf numFmtId="0" fontId="37" fillId="0" borderId="3" xfId="13" applyFont="1" applyBorder="1" applyAlignment="1" applyProtection="1">
      <alignment horizontal="center" vertical="center"/>
    </xf>
    <xf numFmtId="0" fontId="37" fillId="0" borderId="5" xfId="13" applyFont="1" applyBorder="1" applyAlignment="1" applyProtection="1">
      <alignment horizontal="center" vertical="center"/>
    </xf>
    <xf numFmtId="0" fontId="37" fillId="0" borderId="8" xfId="13" applyFont="1" applyBorder="1" applyAlignment="1" applyProtection="1">
      <alignment horizontal="center" vertical="center"/>
    </xf>
    <xf numFmtId="0" fontId="37" fillId="0" borderId="7" xfId="13" applyFont="1" applyBorder="1" applyAlignment="1" applyProtection="1">
      <alignment horizontal="center" vertical="center"/>
    </xf>
    <xf numFmtId="0" fontId="37" fillId="0" borderId="9" xfId="13" applyFont="1" applyBorder="1" applyAlignment="1" applyProtection="1">
      <alignment horizontal="center" vertical="center"/>
    </xf>
    <xf numFmtId="4" fontId="19" fillId="0" borderId="13" xfId="0" applyNumberFormat="1" applyFont="1" applyFill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4" fontId="20" fillId="0" borderId="41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1" xfId="0" applyNumberFormat="1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183" fontId="18" fillId="5" borderId="1" xfId="0" applyNumberFormat="1" applyFont="1" applyFill="1" applyBorder="1" applyAlignment="1">
      <alignment horizontal="center" vertical="center"/>
    </xf>
  </cellXfs>
  <cellStyles count="15">
    <cellStyle name="Data" xfId="1"/>
    <cellStyle name="Fixo" xfId="2"/>
    <cellStyle name="Normal" xfId="0" builtinId="0"/>
    <cellStyle name="Normal 2" xfId="3"/>
    <cellStyle name="Normal_Mod_Orcamento_Ate_20.000_hab" xfId="13"/>
    <cellStyle name="Percentual" xfId="4"/>
    <cellStyle name="Ponto" xfId="5"/>
    <cellStyle name="Porcentagem" xfId="6" builtinId="5"/>
    <cellStyle name="Porcentagem 2" xfId="7"/>
    <cellStyle name="Separador de milhares 2" xfId="9"/>
    <cellStyle name="Separador de milhares_Planilha Orçamentária.V3" xfId="14"/>
    <cellStyle name="Titulo1" xfId="10"/>
    <cellStyle name="Titulo2" xfId="11"/>
    <cellStyle name="Vírgula" xfId="8" builtinId="3"/>
    <cellStyle name="Vírgula 2" xfId="12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438150</xdr:colOff>
          <xdr:row>0</xdr:row>
          <xdr:rowOff>123825</xdr:rowOff>
        </xdr:from>
        <xdr:to>
          <xdr:col>1</xdr:col>
          <xdr:colOff>171450</xdr:colOff>
          <xdr:row>4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171450</xdr:colOff>
          <xdr:row>0</xdr:row>
          <xdr:rowOff>190500</xdr:rowOff>
        </xdr:from>
        <xdr:to>
          <xdr:col>46</xdr:col>
          <xdr:colOff>38100</xdr:colOff>
          <xdr:row>2</xdr:row>
          <xdr:rowOff>76200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</xdr:rowOff>
    </xdr:from>
    <xdr:to>
      <xdr:col>2</xdr:col>
      <xdr:colOff>276225</xdr:colOff>
      <xdr:row>5</xdr:row>
      <xdr:rowOff>0</xdr:rowOff>
    </xdr:to>
    <xdr:sp macro="" textlink="" fLocksText="0">
      <xdr:nvSpPr>
        <xdr:cNvPr id="3073" name="Texto 239"/>
        <xdr:cNvSpPr>
          <a:spLocks noChangeArrowheads="1"/>
        </xdr:cNvSpPr>
      </xdr:nvSpPr>
      <xdr:spPr bwMode="auto">
        <a:xfrm>
          <a:off x="47625" y="123825"/>
          <a:ext cx="885825" cy="723900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BR" sz="1300" b="1" i="0" strike="noStrike">
              <a:solidFill>
                <a:srgbClr val="000000"/>
              </a:solidFill>
              <a:latin typeface="Arial"/>
              <a:cs typeface="Arial"/>
            </a:rPr>
            <a:t>SAAE</a:t>
          </a:r>
        </a:p>
        <a:p>
          <a:pPr algn="ctr" rtl="0">
            <a:defRPr sz="1000"/>
          </a:pPr>
          <a:r>
            <a:rPr lang="pt-BR" sz="1300" b="1" i="0" strike="noStrike">
              <a:solidFill>
                <a:srgbClr val="000000"/>
              </a:solidFill>
              <a:latin typeface="Arial"/>
              <a:cs typeface="Arial"/>
            </a:rPr>
            <a:t>CAETÉ</a:t>
          </a:r>
        </a:p>
        <a:p>
          <a:pPr algn="ctr" rtl="0">
            <a:defRPr sz="1000"/>
          </a:pPr>
          <a:r>
            <a:rPr lang="pt-BR" sz="1300" b="1" i="0" strike="noStrike">
              <a:solidFill>
                <a:srgbClr val="000000"/>
              </a:solidFill>
              <a:latin typeface="Arial"/>
              <a:cs typeface="Arial"/>
            </a:rPr>
            <a:t>FNS/MS</a:t>
          </a:r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3</xdr:col>
      <xdr:colOff>809625</xdr:colOff>
      <xdr:row>5</xdr:row>
      <xdr:rowOff>9525</xdr:rowOff>
    </xdr:to>
    <xdr:sp macro="" textlink="">
      <xdr:nvSpPr>
        <xdr:cNvPr id="3074" name="Texto 240"/>
        <xdr:cNvSpPr>
          <a:spLocks noChangeArrowheads="1"/>
        </xdr:cNvSpPr>
      </xdr:nvSpPr>
      <xdr:spPr bwMode="auto">
        <a:xfrm>
          <a:off x="1038225" y="114300"/>
          <a:ext cx="2590800" cy="742950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BR" sz="1400" b="1" i="0" strike="noStrike">
              <a:solidFill>
                <a:srgbClr val="000000"/>
              </a:solidFill>
              <a:latin typeface="Arial"/>
              <a:cs typeface="Arial"/>
            </a:rPr>
            <a:t>ORÇAMENTO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276225</xdr:colOff>
      <xdr:row>3</xdr:row>
      <xdr:rowOff>304800</xdr:rowOff>
    </xdr:to>
    <xdr:sp macro="" textlink="">
      <xdr:nvSpPr>
        <xdr:cNvPr id="34192" name="AutoShape 1"/>
        <xdr:cNvSpPr>
          <a:spLocks noChangeArrowheads="1"/>
        </xdr:cNvSpPr>
      </xdr:nvSpPr>
      <xdr:spPr bwMode="auto">
        <a:xfrm>
          <a:off x="28575" y="28575"/>
          <a:ext cx="857250" cy="6858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28575</xdr:rowOff>
    </xdr:from>
    <xdr:to>
      <xdr:col>5</xdr:col>
      <xdr:colOff>409575</xdr:colOff>
      <xdr:row>3</xdr:row>
      <xdr:rowOff>285750</xdr:rowOff>
    </xdr:to>
    <xdr:sp macro="" textlink="">
      <xdr:nvSpPr>
        <xdr:cNvPr id="34193" name="AutoShape 2"/>
        <xdr:cNvSpPr>
          <a:spLocks noChangeArrowheads="1"/>
        </xdr:cNvSpPr>
      </xdr:nvSpPr>
      <xdr:spPr bwMode="auto">
        <a:xfrm>
          <a:off x="1038225" y="28575"/>
          <a:ext cx="2419350" cy="6858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114300</xdr:rowOff>
    </xdr:from>
    <xdr:to>
      <xdr:col>1</xdr:col>
      <xdr:colOff>180975</xdr:colOff>
      <xdr:row>3</xdr:row>
      <xdr:rowOff>142875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114300" y="114300"/>
          <a:ext cx="676275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SAAE</a:t>
          </a:r>
        </a:p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CAETÉ</a:t>
          </a:r>
        </a:p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FNS / MS</a:t>
          </a:r>
        </a:p>
      </xdr:txBody>
    </xdr:sp>
    <xdr:clientData/>
  </xdr:twoCellAnchor>
  <xdr:twoCellAnchor>
    <xdr:from>
      <xdr:col>1</xdr:col>
      <xdr:colOff>533400</xdr:colOff>
      <xdr:row>0</xdr:row>
      <xdr:rowOff>123825</xdr:rowOff>
    </xdr:from>
    <xdr:to>
      <xdr:col>5</xdr:col>
      <xdr:colOff>285750</xdr:colOff>
      <xdr:row>3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43000" y="123825"/>
          <a:ext cx="219075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ORÇAMENTO</a:t>
          </a:r>
        </a:p>
        <a:p>
          <a:pPr algn="ctr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mão-de-obra e equipamentos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276225</xdr:colOff>
      <xdr:row>3</xdr:row>
      <xdr:rowOff>304800</xdr:rowOff>
    </xdr:to>
    <xdr:sp macro="" textlink="">
      <xdr:nvSpPr>
        <xdr:cNvPr id="35216" name="AutoShape 1"/>
        <xdr:cNvSpPr>
          <a:spLocks noChangeArrowheads="1"/>
        </xdr:cNvSpPr>
      </xdr:nvSpPr>
      <xdr:spPr bwMode="auto">
        <a:xfrm>
          <a:off x="28575" y="28575"/>
          <a:ext cx="857250" cy="6858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28575</xdr:rowOff>
    </xdr:from>
    <xdr:to>
      <xdr:col>5</xdr:col>
      <xdr:colOff>409575</xdr:colOff>
      <xdr:row>3</xdr:row>
      <xdr:rowOff>285750</xdr:rowOff>
    </xdr:to>
    <xdr:sp macro="" textlink="">
      <xdr:nvSpPr>
        <xdr:cNvPr id="35217" name="AutoShape 2"/>
        <xdr:cNvSpPr>
          <a:spLocks noChangeArrowheads="1"/>
        </xdr:cNvSpPr>
      </xdr:nvSpPr>
      <xdr:spPr bwMode="auto">
        <a:xfrm>
          <a:off x="1038225" y="28575"/>
          <a:ext cx="2419350" cy="6858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114300</xdr:rowOff>
    </xdr:from>
    <xdr:to>
      <xdr:col>1</xdr:col>
      <xdr:colOff>180975</xdr:colOff>
      <xdr:row>3</xdr:row>
      <xdr:rowOff>142875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114300" y="114300"/>
          <a:ext cx="676275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SAAE</a:t>
          </a:r>
        </a:p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CAETÉ</a:t>
          </a:r>
        </a:p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FNS / MS</a:t>
          </a:r>
        </a:p>
      </xdr:txBody>
    </xdr:sp>
    <xdr:clientData/>
  </xdr:twoCellAnchor>
  <xdr:twoCellAnchor>
    <xdr:from>
      <xdr:col>1</xdr:col>
      <xdr:colOff>533400</xdr:colOff>
      <xdr:row>0</xdr:row>
      <xdr:rowOff>123825</xdr:rowOff>
    </xdr:from>
    <xdr:to>
      <xdr:col>5</xdr:col>
      <xdr:colOff>285750</xdr:colOff>
      <xdr:row>3</xdr:row>
      <xdr:rowOff>114300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1143000" y="123825"/>
          <a:ext cx="219075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ORÇAMENTO</a:t>
          </a:r>
        </a:p>
        <a:p>
          <a:pPr algn="ctr" rtl="0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materiais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2</xdr:col>
      <xdr:colOff>1019175</xdr:colOff>
      <xdr:row>3</xdr:row>
      <xdr:rowOff>142875</xdr:rowOff>
    </xdr:to>
    <xdr:pic>
      <xdr:nvPicPr>
        <xdr:cNvPr id="3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1496" t="48755" r="50945" b="43512"/>
        <a:stretch>
          <a:fillRect/>
        </a:stretch>
      </xdr:blipFill>
      <xdr:spPr bwMode="auto">
        <a:xfrm>
          <a:off x="238125" y="85725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8</xdr:col>
      <xdr:colOff>377825</xdr:colOff>
      <xdr:row>43</xdr:row>
      <xdr:rowOff>117475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153" t="38554" r="42206" b="55690"/>
        <a:stretch>
          <a:fillRect/>
        </a:stretch>
      </xdr:blipFill>
      <xdr:spPr bwMode="auto">
        <a:xfrm>
          <a:off x="0" y="3181350"/>
          <a:ext cx="5138208" cy="603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590550</xdr:colOff>
      <xdr:row>0</xdr:row>
      <xdr:rowOff>0</xdr:rowOff>
    </xdr:from>
    <xdr:to>
      <xdr:col>21</xdr:col>
      <xdr:colOff>361950</xdr:colOff>
      <xdr:row>17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24" t="25651" r="25696" b="28385"/>
        <a:stretch>
          <a:fillRect/>
        </a:stretch>
      </xdr:blipFill>
      <xdr:spPr bwMode="auto">
        <a:xfrm>
          <a:off x="6686550" y="0"/>
          <a:ext cx="6477000" cy="336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266699</xdr:colOff>
      <xdr:row>4</xdr:row>
      <xdr:rowOff>161925</xdr:rowOff>
    </xdr:from>
    <xdr:to>
      <xdr:col>21</xdr:col>
      <xdr:colOff>285749</xdr:colOff>
      <xdr:row>6</xdr:row>
      <xdr:rowOff>63500</xdr:rowOff>
    </xdr:to>
    <xdr:sp macro="" textlink="">
      <xdr:nvSpPr>
        <xdr:cNvPr id="4" name="Retângulo 3"/>
        <xdr:cNvSpPr/>
      </xdr:nvSpPr>
      <xdr:spPr>
        <a:xfrm>
          <a:off x="8860366" y="976842"/>
          <a:ext cx="4315883" cy="30374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15</xdr:col>
      <xdr:colOff>366182</xdr:colOff>
      <xdr:row>12</xdr:row>
      <xdr:rowOff>42334</xdr:rowOff>
    </xdr:from>
    <xdr:to>
      <xdr:col>20</xdr:col>
      <xdr:colOff>158750</xdr:colOff>
      <xdr:row>13</xdr:row>
      <xdr:rowOff>141816</xdr:rowOff>
    </xdr:to>
    <xdr:sp macro="" textlink="">
      <xdr:nvSpPr>
        <xdr:cNvPr id="8" name="Retângulo 7"/>
        <xdr:cNvSpPr/>
      </xdr:nvSpPr>
      <xdr:spPr>
        <a:xfrm>
          <a:off x="9573682" y="2465917"/>
          <a:ext cx="2861735" cy="30056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11</xdr:col>
      <xdr:colOff>116417</xdr:colOff>
      <xdr:row>17</xdr:row>
      <xdr:rowOff>95250</xdr:rowOff>
    </xdr:from>
    <xdr:to>
      <xdr:col>19</xdr:col>
      <xdr:colOff>243416</xdr:colOff>
      <xdr:row>30</xdr:row>
      <xdr:rowOff>116417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053" t="36518" r="31492" b="26965"/>
        <a:stretch>
          <a:fillRect/>
        </a:stretch>
      </xdr:blipFill>
      <xdr:spPr bwMode="auto">
        <a:xfrm>
          <a:off x="6868584" y="5037667"/>
          <a:ext cx="5037666" cy="26458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107733\publico\ALESSANDRO\Alessandro's%20Personal\Alessandro's%20Composings\Construction%20Assemblies%20A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107733\publico\ALESSANDRO\Alessandro's%20Personal\Alessandro's%20Composings\Construction%20Assemblies%20L-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107733\publico\ALESSANDRO\Alessandro's%20Personal\Alessandro's%20Composings\Construction%20Assemblies%20R-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107733\publico\ALESSANDRO\Alessandro's%20Personal\Alessandro's%20Composings\Construction%20Assemblies%20F-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r&#231;amento%20Boa%20Vista%20com%20desonera&#231;&#227;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Or&#231;amento%20Santa%20Luzia%20com%20desonera&#231;&#227;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Or&#231;amento%20S&#227;o%20Roberto%20com%20desonera&#231;&#227;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BASTECIMENTO%20DE%20&#193;GUA\ENVIADO%20ANTONIO\AJUSTANDO\Sao%20Roberto\Or&#231;amento%20S&#227;o%20Roberto%20com%20desoner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mblies A _ E"/>
      <sheetName val="assemblies A - 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mblies L _ Q"/>
      <sheetName val="assemblies L - Q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mblies R _ Z"/>
      <sheetName val="assemblies R - Z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mblies F _ K"/>
      <sheetName val="assemblies F - K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RVIÇOS"/>
      <sheetName val="MATERIAIS"/>
      <sheetName val="COMPOSICAO_CUSTOS"/>
      <sheetName val="Cronograma"/>
      <sheetName val="Para word 1"/>
      <sheetName val="Para word 2"/>
      <sheetName val="Cron barras"/>
      <sheetName val="Resumo interceptor"/>
      <sheetName val="Interceptor(mão-de-obra)"/>
      <sheetName val="Interceptor (materiais)"/>
      <sheetName val="POÇO TUBULAR"/>
      <sheetName val="BDI"/>
      <sheetName val="FISICO-FINANCEIRO"/>
    </sheetNames>
    <sheetDataSet>
      <sheetData sheetId="0">
        <row r="21">
          <cell r="F21">
            <v>259583.95999999996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RVIÇOS"/>
      <sheetName val="MATERIAIS"/>
      <sheetName val="COMPOSICAO_CUSTOS"/>
      <sheetName val="Cronograma"/>
      <sheetName val="Para word 1"/>
      <sheetName val="Para word 2"/>
      <sheetName val="Cron barras"/>
      <sheetName val="Resumo interceptor"/>
      <sheetName val="Interceptor(mão-de-obra)"/>
      <sheetName val="Interceptor (materiais)"/>
      <sheetName val="POÇO TUBULAR"/>
      <sheetName val="BDI"/>
      <sheetName val="FISICO-FINANCEIRO"/>
    </sheetNames>
    <sheetDataSet>
      <sheetData sheetId="0">
        <row r="22">
          <cell r="F22">
            <v>345871.64999999997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RVIÇOS"/>
      <sheetName val="MATERIAIS"/>
      <sheetName val="COMPOSICAO_CUSTOS"/>
      <sheetName val="Cronograma"/>
      <sheetName val="Para word 1"/>
      <sheetName val="Para word 2"/>
      <sheetName val="Cron barras"/>
      <sheetName val="Resumo interceptor"/>
      <sheetName val="Interceptor(mão-de-obra)"/>
      <sheetName val="Interceptor (materiais)"/>
      <sheetName val="POÇO TUBULAR"/>
      <sheetName val="BDI"/>
      <sheetName val="FISICO-FINANCEIRO"/>
    </sheetNames>
    <sheetDataSet>
      <sheetData sheetId="0">
        <row r="22">
          <cell r="F22">
            <v>325241.38999999996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RVIÇOS"/>
      <sheetName val="MATERIAIS"/>
      <sheetName val="COMPOSICAO_CUSTOS"/>
      <sheetName val="Cronograma"/>
      <sheetName val="Para word 1"/>
      <sheetName val="Para word 2"/>
      <sheetName val="Cron barras"/>
      <sheetName val="Resumo interceptor"/>
      <sheetName val="Interceptor(mão-de-obra)"/>
      <sheetName val="Interceptor (materiais)"/>
      <sheetName val="POÇO TUBULAR"/>
      <sheetName val="BDI"/>
      <sheetName val="FISICO-FINANCEIRO"/>
    </sheetNames>
    <sheetDataSet>
      <sheetData sheetId="0">
        <row r="15">
          <cell r="B15" t="str">
            <v>01</v>
          </cell>
        </row>
        <row r="16">
          <cell r="B16" t="str">
            <v>02</v>
          </cell>
        </row>
        <row r="17">
          <cell r="B17" t="str">
            <v>03</v>
          </cell>
        </row>
        <row r="18">
          <cell r="B18" t="str">
            <v>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showGridLines="0" showZeros="0" view="pageBreakPreview" topLeftCell="A7" zoomScale="90" zoomScaleSheetLayoutView="90" workbookViewId="0">
      <selection activeCell="D19" sqref="D19:F19"/>
    </sheetView>
  </sheetViews>
  <sheetFormatPr defaultRowHeight="12.75" x14ac:dyDescent="0.2"/>
  <cols>
    <col min="1" max="1" width="2.85546875" style="239" customWidth="1"/>
    <col min="2" max="2" width="12.42578125" style="247" customWidth="1"/>
    <col min="3" max="3" width="69.42578125" style="248" customWidth="1"/>
    <col min="4" max="4" width="14.140625" style="253" customWidth="1"/>
    <col min="5" max="5" width="16.140625" style="239" customWidth="1"/>
    <col min="6" max="6" width="15.28515625" style="239" customWidth="1"/>
    <col min="7" max="7" width="7.5703125" style="238" bestFit="1" customWidth="1"/>
    <col min="8" max="8" width="9.140625" style="238" hidden="1" customWidth="1"/>
    <col min="9" max="9" width="9.7109375" style="238" hidden="1" customWidth="1"/>
    <col min="10" max="10" width="9.140625" style="238"/>
    <col min="11" max="11" width="11.140625" style="238" bestFit="1" customWidth="1"/>
    <col min="12" max="12" width="9.85546875" style="238" bestFit="1" customWidth="1"/>
    <col min="13" max="13" width="11.140625" style="238" bestFit="1" customWidth="1"/>
    <col min="14" max="31" width="9.140625" style="238"/>
    <col min="32" max="16384" width="9.140625" style="236"/>
  </cols>
  <sheetData>
    <row r="1" spans="1:33" ht="14.25" x14ac:dyDescent="0.2">
      <c r="B1" s="264"/>
      <c r="C1" s="265"/>
      <c r="D1" s="266"/>
      <c r="E1" s="267"/>
      <c r="F1" s="268"/>
      <c r="H1" s="246"/>
      <c r="AF1" s="238"/>
      <c r="AG1" s="238"/>
    </row>
    <row r="2" spans="1:33" ht="18.75" x14ac:dyDescent="0.2">
      <c r="B2" s="532" t="s">
        <v>392</v>
      </c>
      <c r="C2" s="533"/>
      <c r="D2" s="533"/>
      <c r="E2" s="533"/>
      <c r="F2" s="534"/>
      <c r="H2" s="246"/>
      <c r="AF2" s="238"/>
      <c r="AG2" s="238"/>
    </row>
    <row r="3" spans="1:33" ht="18.75" x14ac:dyDescent="0.3">
      <c r="B3" s="337"/>
      <c r="C3" s="348"/>
      <c r="D3" s="339"/>
      <c r="E3" s="336"/>
      <c r="F3" s="340"/>
      <c r="H3" s="246"/>
      <c r="AF3" s="238"/>
      <c r="AG3" s="238"/>
    </row>
    <row r="4" spans="1:33" ht="18.75" x14ac:dyDescent="0.3">
      <c r="B4" s="535" t="s">
        <v>391</v>
      </c>
      <c r="C4" s="536"/>
      <c r="D4" s="536"/>
      <c r="E4" s="536"/>
      <c r="F4" s="537"/>
      <c r="H4" s="246"/>
      <c r="AF4" s="238"/>
      <c r="AG4" s="238"/>
    </row>
    <row r="5" spans="1:33" ht="14.25" x14ac:dyDescent="0.2">
      <c r="B5" s="269"/>
      <c r="C5" s="240"/>
      <c r="D5" s="254"/>
      <c r="E5" s="246"/>
      <c r="F5" s="270"/>
      <c r="H5" s="246"/>
      <c r="AF5" s="238"/>
      <c r="AG5" s="238"/>
    </row>
    <row r="6" spans="1:33" x14ac:dyDescent="0.2">
      <c r="B6" s="271"/>
      <c r="C6" s="241"/>
      <c r="D6" s="255"/>
      <c r="E6" s="538" t="s">
        <v>418</v>
      </c>
      <c r="F6" s="539"/>
      <c r="H6" s="246"/>
      <c r="AF6" s="238"/>
      <c r="AG6" s="238"/>
    </row>
    <row r="7" spans="1:33" x14ac:dyDescent="0.2">
      <c r="B7" s="272" t="s">
        <v>1</v>
      </c>
      <c r="C7" s="241"/>
      <c r="D7" s="255"/>
      <c r="E7" s="538" t="s">
        <v>419</v>
      </c>
      <c r="F7" s="539"/>
      <c r="H7" s="246"/>
      <c r="AF7" s="238"/>
      <c r="AG7" s="238"/>
    </row>
    <row r="8" spans="1:33" x14ac:dyDescent="0.2">
      <c r="B8" s="272" t="s">
        <v>0</v>
      </c>
      <c r="C8" s="241"/>
      <c r="D8" s="255"/>
      <c r="E8" s="246"/>
      <c r="F8" s="270"/>
      <c r="H8" s="246"/>
      <c r="AF8" s="238"/>
      <c r="AG8" s="238"/>
    </row>
    <row r="9" spans="1:33" x14ac:dyDescent="0.2">
      <c r="B9" s="540" t="s">
        <v>490</v>
      </c>
      <c r="C9" s="541"/>
      <c r="D9" s="255"/>
      <c r="E9" s="352" t="s">
        <v>443</v>
      </c>
      <c r="F9" s="270"/>
      <c r="H9" s="246"/>
      <c r="AF9" s="238"/>
      <c r="AG9" s="238"/>
    </row>
    <row r="10" spans="1:33" ht="13.5" thickBot="1" x14ac:dyDescent="0.25">
      <c r="B10" s="542"/>
      <c r="C10" s="543"/>
      <c r="D10" s="256"/>
      <c r="E10" s="249"/>
      <c r="F10" s="273"/>
    </row>
    <row r="11" spans="1:33" ht="3" customHeight="1" thickBot="1" x14ac:dyDescent="0.25">
      <c r="B11" s="274"/>
      <c r="C11" s="242"/>
      <c r="D11" s="257"/>
      <c r="E11" s="246"/>
      <c r="F11" s="270"/>
    </row>
    <row r="12" spans="1:33" ht="21" customHeight="1" thickBot="1" x14ac:dyDescent="0.3">
      <c r="B12" s="529" t="s">
        <v>7</v>
      </c>
      <c r="C12" s="530"/>
      <c r="D12" s="530"/>
      <c r="E12" s="530"/>
      <c r="F12" s="531"/>
    </row>
    <row r="13" spans="1:33" ht="3" customHeight="1" x14ac:dyDescent="0.25">
      <c r="B13" s="275"/>
      <c r="C13" s="243"/>
      <c r="D13" s="258"/>
      <c r="E13" s="246"/>
      <c r="F13" s="270"/>
    </row>
    <row r="14" spans="1:33" ht="45.75" customHeight="1" x14ac:dyDescent="0.2">
      <c r="B14" s="276" t="s">
        <v>189</v>
      </c>
      <c r="C14" s="261" t="s">
        <v>8</v>
      </c>
      <c r="D14" s="526" t="s">
        <v>388</v>
      </c>
      <c r="E14" s="527"/>
      <c r="F14" s="528"/>
      <c r="M14" s="238" t="e">
        <f>D19-#REF!</f>
        <v>#REF!</v>
      </c>
    </row>
    <row r="15" spans="1:33" s="237" customFormat="1" ht="15.95" customHeight="1" x14ac:dyDescent="0.2">
      <c r="A15" s="245"/>
      <c r="B15" s="277" t="s">
        <v>9</v>
      </c>
      <c r="C15" s="262" t="s">
        <v>198</v>
      </c>
      <c r="D15" s="520">
        <f>SERVIÇOS!I22</f>
        <v>61033.79</v>
      </c>
      <c r="E15" s="521"/>
      <c r="F15" s="522"/>
      <c r="G15" s="396">
        <f>D15/$D$19</f>
        <v>6.1542699506183539E-2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</row>
    <row r="16" spans="1:33" ht="15.95" customHeight="1" x14ac:dyDescent="0.2">
      <c r="B16" s="277" t="s">
        <v>10</v>
      </c>
      <c r="C16" s="390" t="s">
        <v>421</v>
      </c>
      <c r="D16" s="520">
        <f>[5]RESUMO!$F$21</f>
        <v>259583.95999999996</v>
      </c>
      <c r="E16" s="521"/>
      <c r="F16" s="522"/>
      <c r="G16" s="396">
        <f>D16/$D$19</f>
        <v>0.26174841259088066</v>
      </c>
    </row>
    <row r="17" spans="2:12" ht="15.95" customHeight="1" x14ac:dyDescent="0.2">
      <c r="B17" s="277" t="s">
        <v>11</v>
      </c>
      <c r="C17" s="390" t="s">
        <v>422</v>
      </c>
      <c r="D17" s="520">
        <f>[6]RESUMO!$F$22</f>
        <v>345871.64999999997</v>
      </c>
      <c r="E17" s="521"/>
      <c r="F17" s="522"/>
      <c r="G17" s="396">
        <f>D17/$D$19</f>
        <v>0.3487555831557877</v>
      </c>
    </row>
    <row r="18" spans="2:12" ht="15.95" customHeight="1" x14ac:dyDescent="0.2">
      <c r="B18" s="277" t="s">
        <v>12</v>
      </c>
      <c r="C18" s="390" t="s">
        <v>423</v>
      </c>
      <c r="D18" s="520">
        <f>[7]RESUMO!$F$22</f>
        <v>325241.38999999996</v>
      </c>
      <c r="E18" s="521"/>
      <c r="F18" s="522"/>
      <c r="G18" s="396">
        <f>D18/$D$19</f>
        <v>0.32795330474714818</v>
      </c>
      <c r="K18" s="238">
        <v>991730.79</v>
      </c>
      <c r="L18" s="238">
        <f>D19-K18</f>
        <v>0</v>
      </c>
    </row>
    <row r="19" spans="2:12" ht="16.5" thickBot="1" x14ac:dyDescent="0.3">
      <c r="B19" s="278"/>
      <c r="C19" s="279" t="s">
        <v>13</v>
      </c>
      <c r="D19" s="523">
        <f>SUM(D15:D18)</f>
        <v>991730.7899999998</v>
      </c>
      <c r="E19" s="524"/>
      <c r="F19" s="525"/>
      <c r="G19" s="397">
        <f>SUM(G15:G18)</f>
        <v>1</v>
      </c>
      <c r="I19" s="238">
        <v>991730.79</v>
      </c>
    </row>
    <row r="22" spans="2:12" x14ac:dyDescent="0.2">
      <c r="C22" s="417" t="s">
        <v>437</v>
      </c>
      <c r="D22" s="519" t="s">
        <v>438</v>
      </c>
      <c r="E22" s="519"/>
      <c r="F22" s="519"/>
    </row>
    <row r="23" spans="2:12" x14ac:dyDescent="0.2">
      <c r="C23" s="417" t="s">
        <v>435</v>
      </c>
      <c r="D23" s="519" t="s">
        <v>439</v>
      </c>
      <c r="E23" s="519"/>
      <c r="F23" s="519"/>
      <c r="K23" s="238">
        <f>D19-K18</f>
        <v>0</v>
      </c>
    </row>
    <row r="24" spans="2:12" x14ac:dyDescent="0.2">
      <c r="C24" s="417" t="s">
        <v>441</v>
      </c>
      <c r="D24" s="519" t="s">
        <v>440</v>
      </c>
      <c r="E24" s="519"/>
      <c r="F24" s="519"/>
    </row>
    <row r="25" spans="2:12" x14ac:dyDescent="0.2">
      <c r="C25" s="417" t="s">
        <v>436</v>
      </c>
      <c r="D25" s="418"/>
      <c r="E25" s="418"/>
      <c r="F25" s="418"/>
    </row>
    <row r="31" spans="2:12" x14ac:dyDescent="0.2">
      <c r="I31" s="238">
        <f>I19-D19</f>
        <v>0</v>
      </c>
      <c r="J31" s="238">
        <f>I31</f>
        <v>0</v>
      </c>
    </row>
    <row r="36" spans="4:4" x14ac:dyDescent="0.2">
      <c r="D36" s="253">
        <v>991730.79</v>
      </c>
    </row>
    <row r="93" spans="3:5" x14ac:dyDescent="0.2">
      <c r="E93" s="250"/>
    </row>
    <row r="94" spans="3:5" x14ac:dyDescent="0.2">
      <c r="C94" s="259"/>
    </row>
    <row r="99" spans="3:6" x14ac:dyDescent="0.2">
      <c r="F99" s="251" t="e">
        <f>ROUND(#REF!*E99,2)</f>
        <v>#REF!</v>
      </c>
    </row>
    <row r="101" spans="3:6" x14ac:dyDescent="0.2">
      <c r="C101" s="260"/>
    </row>
  </sheetData>
  <mergeCells count="15">
    <mergeCell ref="B2:F2"/>
    <mergeCell ref="B4:F4"/>
    <mergeCell ref="E6:F6"/>
    <mergeCell ref="E7:F7"/>
    <mergeCell ref="B9:C10"/>
    <mergeCell ref="D14:F14"/>
    <mergeCell ref="D15:F15"/>
    <mergeCell ref="D16:F16"/>
    <mergeCell ref="D17:F17"/>
    <mergeCell ref="B12:F12"/>
    <mergeCell ref="D22:F22"/>
    <mergeCell ref="D24:F24"/>
    <mergeCell ref="D23:F23"/>
    <mergeCell ref="D18:F18"/>
    <mergeCell ref="D19:F19"/>
  </mergeCells>
  <phoneticPr fontId="0" type="noConversion"/>
  <printOptions horizontalCentered="1"/>
  <pageMargins left="0.59055118110236227" right="0.59055118110236227" top="0.59055118110236227" bottom="0.59055118110236227" header="0.31496062992125984" footer="0.39370078740157483"/>
  <pageSetup paperSize="9" scale="70" fitToHeight="4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J121"/>
  <sheetViews>
    <sheetView showGridLines="0" showZeros="0" tabSelected="1" view="pageBreakPreview" zoomScale="80" zoomScaleSheetLayoutView="80" workbookViewId="0">
      <selection activeCell="E18" sqref="E18:H18"/>
    </sheetView>
  </sheetViews>
  <sheetFormatPr defaultRowHeight="15.75" x14ac:dyDescent="0.25"/>
  <cols>
    <col min="1" max="1" width="2.85546875" style="280" customWidth="1"/>
    <col min="2" max="2" width="7.85546875" style="327" customWidth="1"/>
    <col min="3" max="3" width="12.85546875" style="342" customWidth="1"/>
    <col min="4" max="4" width="69.42578125" style="328" customWidth="1"/>
    <col min="5" max="5" width="9" style="329" customWidth="1"/>
    <col min="6" max="6" width="12.42578125" style="330" customWidth="1"/>
    <col min="7" max="7" width="16" style="330" customWidth="1"/>
    <col min="8" max="8" width="14.42578125" style="280" customWidth="1"/>
    <col min="9" max="9" width="14.85546875" style="280" bestFit="1" customWidth="1"/>
    <col min="10" max="10" width="0.85546875" style="287" customWidth="1"/>
    <col min="11" max="11" width="11.85546875" style="280" hidden="1" customWidth="1"/>
    <col min="12" max="12" width="9.140625" style="287" hidden="1" customWidth="1"/>
    <col min="13" max="13" width="9.85546875" style="287" hidden="1" customWidth="1"/>
    <col min="14" max="14" width="9.140625" style="287" hidden="1" customWidth="1"/>
    <col min="15" max="15" width="11.7109375" style="366" hidden="1" customWidth="1"/>
    <col min="16" max="16" width="9.85546875" style="287" bestFit="1" customWidth="1"/>
    <col min="17" max="17" width="11.42578125" style="359" bestFit="1" customWidth="1"/>
    <col min="18" max="18" width="9.85546875" style="287" bestFit="1" customWidth="1"/>
    <col min="19" max="19" width="10.140625" style="287" bestFit="1" customWidth="1"/>
    <col min="20" max="36" width="9.140625" style="287"/>
    <col min="37" max="16384" width="9.140625" style="289"/>
  </cols>
  <sheetData>
    <row r="1" spans="1:36" x14ac:dyDescent="0.25">
      <c r="B1" s="281"/>
      <c r="C1" s="282"/>
      <c r="D1" s="283"/>
      <c r="E1" s="284"/>
      <c r="F1" s="282"/>
      <c r="G1" s="282"/>
      <c r="H1" s="285"/>
      <c r="I1" s="286"/>
      <c r="K1" s="288"/>
    </row>
    <row r="2" spans="1:36" ht="18.75" x14ac:dyDescent="0.25">
      <c r="B2" s="532" t="str">
        <f>RESUMO!B2</f>
        <v>PREFEITURA MUNICIPAL DE SÃO JOÃO DA LAGOA</v>
      </c>
      <c r="C2" s="533"/>
      <c r="D2" s="533"/>
      <c r="E2" s="533"/>
      <c r="F2" s="533"/>
      <c r="G2" s="533"/>
      <c r="H2" s="533"/>
      <c r="I2" s="534"/>
      <c r="K2" s="288"/>
    </row>
    <row r="3" spans="1:36" ht="18.75" x14ac:dyDescent="0.3">
      <c r="B3" s="337"/>
      <c r="C3" s="338"/>
      <c r="D3" s="348"/>
      <c r="E3" s="339"/>
      <c r="F3" s="338"/>
      <c r="G3" s="338"/>
      <c r="H3" s="336"/>
      <c r="I3" s="340"/>
      <c r="K3" s="288"/>
    </row>
    <row r="4" spans="1:36" ht="18" x14ac:dyDescent="0.25">
      <c r="B4" s="547" t="str">
        <f>RESUMO!B4</f>
        <v>PLANILHA ORÇAMENTÁRIA</v>
      </c>
      <c r="C4" s="548"/>
      <c r="D4" s="548"/>
      <c r="E4" s="548"/>
      <c r="F4" s="548"/>
      <c r="G4" s="548"/>
      <c r="H4" s="548"/>
      <c r="I4" s="549"/>
      <c r="K4" s="288"/>
      <c r="Q4" s="517">
        <v>1.2989999999999999</v>
      </c>
    </row>
    <row r="5" spans="1:36" x14ac:dyDescent="0.25">
      <c r="B5" s="290"/>
      <c r="C5" s="291"/>
      <c r="D5" s="291"/>
      <c r="E5" s="292"/>
      <c r="F5" s="291"/>
      <c r="G5" s="291"/>
      <c r="H5" s="288"/>
      <c r="I5" s="293"/>
      <c r="K5" s="288"/>
    </row>
    <row r="6" spans="1:36" x14ac:dyDescent="0.25">
      <c r="B6" s="294" t="s">
        <v>1</v>
      </c>
      <c r="C6" s="343"/>
      <c r="D6" s="291"/>
      <c r="E6" s="292"/>
      <c r="F6" s="291"/>
      <c r="G6" s="291"/>
      <c r="H6" s="288"/>
      <c r="I6" s="293"/>
      <c r="K6" s="288"/>
    </row>
    <row r="7" spans="1:36" x14ac:dyDescent="0.25">
      <c r="B7" s="294" t="s">
        <v>0</v>
      </c>
      <c r="C7" s="343"/>
      <c r="D7" s="291"/>
      <c r="E7" s="292"/>
      <c r="F7" s="291"/>
      <c r="G7" s="291"/>
      <c r="H7" s="288"/>
      <c r="I7" s="293"/>
      <c r="K7" s="288"/>
    </row>
    <row r="8" spans="1:36" x14ac:dyDescent="0.25">
      <c r="B8" s="294" t="str">
        <f>RESUMO!B9</f>
        <v>COMUNIDADES BOA VISTA DO PACUÍ, SANTA LÚZIA E SÃO ROBERTO DE MINAS - SÃO JOÃO DA LAGOA (MG)</v>
      </c>
      <c r="C8" s="343"/>
      <c r="D8" s="291"/>
      <c r="E8" s="292"/>
      <c r="F8" s="291"/>
      <c r="G8" s="291"/>
      <c r="H8" s="288"/>
      <c r="I8" s="293"/>
      <c r="K8" s="288"/>
    </row>
    <row r="9" spans="1:36" ht="16.5" thickBot="1" x14ac:dyDescent="0.3">
      <c r="B9" s="295">
        <f>RESUMO!B10</f>
        <v>0</v>
      </c>
      <c r="C9" s="344"/>
      <c r="D9" s="296"/>
      <c r="E9" s="297"/>
      <c r="F9" s="296"/>
      <c r="G9" s="296"/>
      <c r="H9" s="298"/>
      <c r="I9" s="299"/>
      <c r="K9" s="287"/>
      <c r="AI9" s="289"/>
      <c r="AJ9" s="289"/>
    </row>
    <row r="10" spans="1:36" ht="3" customHeight="1" thickBot="1" x14ac:dyDescent="0.3">
      <c r="B10" s="300"/>
      <c r="C10" s="341"/>
      <c r="D10" s="301"/>
      <c r="E10" s="302"/>
      <c r="F10" s="303"/>
      <c r="G10" s="303"/>
      <c r="H10" s="288"/>
      <c r="I10" s="293"/>
      <c r="K10" s="288"/>
    </row>
    <row r="11" spans="1:36" ht="21" customHeight="1" thickBot="1" x14ac:dyDescent="0.3">
      <c r="B11" s="529" t="s">
        <v>110</v>
      </c>
      <c r="C11" s="530"/>
      <c r="D11" s="530"/>
      <c r="E11" s="530"/>
      <c r="F11" s="530"/>
      <c r="G11" s="530"/>
      <c r="H11" s="530"/>
      <c r="I11" s="531"/>
      <c r="K11" s="287"/>
      <c r="O11" s="366" t="s">
        <v>393</v>
      </c>
    </row>
    <row r="12" spans="1:36" s="311" customFormat="1" ht="3.75" customHeight="1" x14ac:dyDescent="0.25">
      <c r="A12" s="288"/>
      <c r="B12" s="304"/>
      <c r="C12" s="305"/>
      <c r="D12" s="305"/>
      <c r="E12" s="306"/>
      <c r="F12" s="307"/>
      <c r="G12" s="307"/>
      <c r="H12" s="308"/>
      <c r="I12" s="309"/>
      <c r="J12" s="310"/>
      <c r="K12" s="263" t="s">
        <v>107</v>
      </c>
      <c r="L12" s="310"/>
      <c r="M12" s="310"/>
      <c r="N12" s="310"/>
      <c r="O12" s="367"/>
      <c r="P12" s="310"/>
      <c r="Q12" s="368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</row>
    <row r="13" spans="1:36" x14ac:dyDescent="0.25">
      <c r="B13" s="312"/>
      <c r="C13" s="345" t="s">
        <v>386</v>
      </c>
      <c r="D13" s="313"/>
      <c r="E13" s="555" t="s">
        <v>385</v>
      </c>
      <c r="F13" s="553" t="s">
        <v>380</v>
      </c>
      <c r="G13" s="551" t="s">
        <v>389</v>
      </c>
      <c r="H13" s="551" t="s">
        <v>390</v>
      </c>
      <c r="I13" s="314" t="s">
        <v>388</v>
      </c>
    </row>
    <row r="14" spans="1:36" ht="16.5" customHeight="1" x14ac:dyDescent="0.25">
      <c r="B14" s="315" t="s">
        <v>189</v>
      </c>
      <c r="C14" s="346" t="s">
        <v>387</v>
      </c>
      <c r="D14" s="316" t="s">
        <v>201</v>
      </c>
      <c r="E14" s="556"/>
      <c r="F14" s="554"/>
      <c r="G14" s="552"/>
      <c r="H14" s="552"/>
      <c r="I14" s="317" t="s">
        <v>14</v>
      </c>
      <c r="K14" s="244">
        <v>1.2989999999999999</v>
      </c>
    </row>
    <row r="15" spans="1:36" ht="5.25" customHeight="1" x14ac:dyDescent="0.25">
      <c r="B15" s="318"/>
      <c r="C15" s="347"/>
      <c r="D15" s="319"/>
      <c r="E15" s="320"/>
      <c r="F15" s="321"/>
      <c r="G15" s="321"/>
      <c r="H15" s="322"/>
      <c r="I15" s="323">
        <f>ROUND(F15*H15,2)</f>
        <v>0</v>
      </c>
      <c r="K15" s="324"/>
    </row>
    <row r="16" spans="1:36" s="356" customFormat="1" ht="15" customHeight="1" x14ac:dyDescent="0.25">
      <c r="A16" s="353"/>
      <c r="B16" s="349" t="s">
        <v>313</v>
      </c>
      <c r="C16" s="351"/>
      <c r="D16" s="350" t="s">
        <v>420</v>
      </c>
      <c r="E16" s="550" t="s">
        <v>108</v>
      </c>
      <c r="F16" s="550"/>
      <c r="G16" s="550"/>
      <c r="H16" s="550"/>
      <c r="I16" s="365">
        <f>I17</f>
        <v>2361.29</v>
      </c>
      <c r="J16" s="354"/>
      <c r="K16" s="355"/>
      <c r="L16" s="354"/>
      <c r="M16" s="354"/>
      <c r="N16" s="354"/>
      <c r="O16" s="363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</row>
    <row r="17" spans="1:36" s="454" customFormat="1" x14ac:dyDescent="0.25">
      <c r="A17" s="453"/>
      <c r="B17" s="457" t="s">
        <v>472</v>
      </c>
      <c r="C17" s="457" t="str">
        <f>COMPOSIÇÕES!A14</f>
        <v>C.C.01</v>
      </c>
      <c r="D17" s="427" t="s">
        <v>491</v>
      </c>
      <c r="E17" s="431" t="s">
        <v>461</v>
      </c>
      <c r="F17" s="431">
        <f>4.5</f>
        <v>4.5</v>
      </c>
      <c r="G17" s="431">
        <f>COMPOSIÇÕES!H14</f>
        <v>403.95</v>
      </c>
      <c r="H17" s="683">
        <f>ROUND(G17*$Q$4,3)</f>
        <v>524.73099999999999</v>
      </c>
      <c r="I17" s="435">
        <f t="shared" ref="I17:I20" si="0">ROUND(H17*F17,2)</f>
        <v>2361.29</v>
      </c>
      <c r="K17" s="455"/>
      <c r="O17" s="456"/>
      <c r="P17" s="454" t="s">
        <v>492</v>
      </c>
    </row>
    <row r="18" spans="1:36" s="364" customFormat="1" x14ac:dyDescent="0.25">
      <c r="A18" s="362"/>
      <c r="B18" s="432" t="s">
        <v>444</v>
      </c>
      <c r="C18" s="424"/>
      <c r="D18" s="425" t="s">
        <v>445</v>
      </c>
      <c r="E18" s="557" t="s">
        <v>446</v>
      </c>
      <c r="F18" s="557"/>
      <c r="G18" s="557"/>
      <c r="H18" s="557"/>
      <c r="I18" s="433">
        <f>SUM(I19:I21)</f>
        <v>58672.5</v>
      </c>
      <c r="J18" s="363"/>
      <c r="K18" s="324"/>
      <c r="L18" s="363"/>
      <c r="M18" s="363"/>
      <c r="N18" s="363"/>
      <c r="O18" s="363"/>
      <c r="P18" s="363"/>
      <c r="Q18" s="354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</row>
    <row r="19" spans="1:36" s="364" customFormat="1" x14ac:dyDescent="0.25">
      <c r="A19" s="362"/>
      <c r="B19" s="434" t="s">
        <v>447</v>
      </c>
      <c r="C19" s="426">
        <v>2707</v>
      </c>
      <c r="D19" s="427" t="s">
        <v>448</v>
      </c>
      <c r="E19" s="428" t="s">
        <v>449</v>
      </c>
      <c r="F19" s="429">
        <v>50</v>
      </c>
      <c r="G19" s="430">
        <v>85.26</v>
      </c>
      <c r="H19" s="431">
        <f>ROUND(G19*$Q$4,2)</f>
        <v>110.75</v>
      </c>
      <c r="I19" s="435">
        <f t="shared" si="0"/>
        <v>5537.5</v>
      </c>
      <c r="J19" s="363"/>
      <c r="K19" s="324"/>
      <c r="L19" s="363"/>
      <c r="M19" s="363"/>
      <c r="N19" s="363"/>
      <c r="O19" s="363"/>
      <c r="P19" s="363"/>
      <c r="Q19" s="354"/>
      <c r="S19" s="430">
        <v>89.75</v>
      </c>
      <c r="T19" s="363">
        <f>ROUND(S19*0.95,2)</f>
        <v>85.26</v>
      </c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</row>
    <row r="20" spans="1:36" s="364" customFormat="1" x14ac:dyDescent="0.25">
      <c r="A20" s="362"/>
      <c r="B20" s="434" t="s">
        <v>450</v>
      </c>
      <c r="C20" s="426">
        <v>4069</v>
      </c>
      <c r="D20" s="427" t="s">
        <v>451</v>
      </c>
      <c r="E20" s="428" t="s">
        <v>449</v>
      </c>
      <c r="F20" s="429">
        <v>500</v>
      </c>
      <c r="G20" s="430">
        <v>54.37</v>
      </c>
      <c r="H20" s="431">
        <f t="shared" ref="H20" si="1">ROUND(G20*$Q$4,2)</f>
        <v>70.63</v>
      </c>
      <c r="I20" s="435">
        <f t="shared" si="0"/>
        <v>35315</v>
      </c>
      <c r="J20" s="363"/>
      <c r="K20" s="324"/>
      <c r="L20" s="363"/>
      <c r="M20" s="363"/>
      <c r="N20" s="363"/>
      <c r="O20" s="363"/>
      <c r="P20" s="363"/>
      <c r="Q20" s="354"/>
      <c r="R20" s="363"/>
      <c r="S20" s="430">
        <v>57.22</v>
      </c>
      <c r="T20" s="363">
        <f t="shared" ref="T20:T21" si="2">ROUND(S20*0.95,2)</f>
        <v>54.36</v>
      </c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</row>
    <row r="21" spans="1:36" s="364" customFormat="1" ht="30" x14ac:dyDescent="0.25">
      <c r="A21" s="362"/>
      <c r="B21" s="434" t="s">
        <v>452</v>
      </c>
      <c r="C21" s="426">
        <v>41776</v>
      </c>
      <c r="D21" s="427" t="s">
        <v>453</v>
      </c>
      <c r="E21" s="428" t="s">
        <v>449</v>
      </c>
      <c r="F21" s="429">
        <v>1000</v>
      </c>
      <c r="G21" s="430">
        <v>13.72</v>
      </c>
      <c r="H21" s="431">
        <f>ROUND(G21*$Q$4,2)</f>
        <v>17.82</v>
      </c>
      <c r="I21" s="435">
        <f>ROUND(H21*F21,2)</f>
        <v>17820</v>
      </c>
      <c r="J21" s="363"/>
      <c r="K21" s="324"/>
      <c r="L21" s="363"/>
      <c r="M21" s="363"/>
      <c r="N21" s="363"/>
      <c r="O21" s="363"/>
      <c r="P21" s="363"/>
      <c r="Q21" s="363">
        <f>6*30*8</f>
        <v>1440</v>
      </c>
      <c r="R21" s="363"/>
      <c r="S21" s="430">
        <v>14.43</v>
      </c>
      <c r="T21" s="363">
        <f t="shared" si="2"/>
        <v>13.71</v>
      </c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</row>
    <row r="22" spans="1:36" s="360" customFormat="1" ht="16.5" thickBot="1" x14ac:dyDescent="0.3">
      <c r="A22" s="358"/>
      <c r="B22" s="369"/>
      <c r="C22" s="370"/>
      <c r="D22" s="371"/>
      <c r="E22" s="546" t="s">
        <v>109</v>
      </c>
      <c r="F22" s="546"/>
      <c r="G22" s="546"/>
      <c r="H22" s="546"/>
      <c r="I22" s="372">
        <f>I16+I18</f>
        <v>61033.79</v>
      </c>
      <c r="J22" s="361"/>
      <c r="K22" s="357">
        <v>9.73</v>
      </c>
      <c r="L22" s="359"/>
      <c r="M22" s="359"/>
      <c r="N22" s="287"/>
      <c r="O22" s="366"/>
      <c r="P22" s="287"/>
      <c r="Q22" s="359"/>
      <c r="R22" s="287"/>
      <c r="S22" s="287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</row>
    <row r="23" spans="1:36" ht="64.5" customHeight="1" x14ac:dyDescent="0.25">
      <c r="B23" s="312"/>
      <c r="C23" s="544" t="s">
        <v>437</v>
      </c>
      <c r="D23" s="544"/>
      <c r="E23" s="437"/>
      <c r="F23" s="545" t="s">
        <v>438</v>
      </c>
      <c r="G23" s="545"/>
      <c r="H23" s="545"/>
      <c r="I23" s="439"/>
      <c r="Q23" s="359">
        <f>RESUMO!D19</f>
        <v>991730.7899999998</v>
      </c>
      <c r="S23" s="287">
        <f>Q23-Q24</f>
        <v>0</v>
      </c>
    </row>
    <row r="24" spans="1:36" ht="19.5" customHeight="1" x14ac:dyDescent="0.25">
      <c r="B24" s="312"/>
      <c r="C24" s="544" t="s">
        <v>435</v>
      </c>
      <c r="D24" s="544"/>
      <c r="E24" s="437"/>
      <c r="F24" s="545" t="s">
        <v>439</v>
      </c>
      <c r="G24" s="545"/>
      <c r="H24" s="545"/>
      <c r="I24" s="440"/>
      <c r="K24" s="331"/>
      <c r="Q24" s="238">
        <v>991730.79</v>
      </c>
    </row>
    <row r="25" spans="1:36" ht="16.5" customHeight="1" x14ac:dyDescent="0.25">
      <c r="B25" s="312"/>
      <c r="C25" s="544" t="s">
        <v>441</v>
      </c>
      <c r="D25" s="544"/>
      <c r="E25" s="437"/>
      <c r="F25" s="545" t="s">
        <v>440</v>
      </c>
      <c r="G25" s="545"/>
      <c r="H25" s="545"/>
      <c r="I25" s="441"/>
      <c r="K25" s="331"/>
    </row>
    <row r="26" spans="1:36" ht="12.75" customHeight="1" x14ac:dyDescent="0.25">
      <c r="B26" s="312"/>
      <c r="C26" s="544" t="s">
        <v>436</v>
      </c>
      <c r="D26" s="544"/>
      <c r="E26" s="437"/>
      <c r="F26" s="442"/>
      <c r="G26" s="442"/>
      <c r="H26" s="443"/>
      <c r="I26" s="439"/>
      <c r="K26" s="332"/>
    </row>
    <row r="27" spans="1:36" s="421" customFormat="1" ht="16.5" thickBot="1" x14ac:dyDescent="0.3">
      <c r="A27" s="419"/>
      <c r="B27" s="444"/>
      <c r="C27" s="445"/>
      <c r="D27" s="446"/>
      <c r="E27" s="447"/>
      <c r="F27" s="448"/>
      <c r="G27" s="448"/>
      <c r="H27" s="449"/>
      <c r="I27" s="450"/>
      <c r="K27" s="420"/>
      <c r="O27" s="422"/>
      <c r="Q27" s="423"/>
    </row>
    <row r="28" spans="1:36" x14ac:dyDescent="0.25">
      <c r="H28" s="332"/>
      <c r="I28" s="333"/>
      <c r="K28" s="332"/>
    </row>
    <row r="29" spans="1:36" x14ac:dyDescent="0.25">
      <c r="H29" s="332"/>
      <c r="I29" s="325"/>
      <c r="K29" s="332"/>
    </row>
    <row r="30" spans="1:36" x14ac:dyDescent="0.25">
      <c r="H30" s="332"/>
      <c r="I30" s="325"/>
      <c r="K30" s="332"/>
      <c r="U30" s="287">
        <f>4.5*524.73</f>
        <v>2361.2849999999999</v>
      </c>
    </row>
    <row r="31" spans="1:36" x14ac:dyDescent="0.25">
      <c r="H31" s="332"/>
      <c r="I31" s="325"/>
      <c r="K31" s="332"/>
    </row>
    <row r="32" spans="1:36" x14ac:dyDescent="0.25">
      <c r="D32" s="417"/>
      <c r="E32" s="519"/>
      <c r="F32" s="519"/>
      <c r="G32" s="519"/>
      <c r="H32" s="332"/>
      <c r="I32" s="325"/>
      <c r="K32" s="332"/>
    </row>
    <row r="33" spans="4:11" x14ac:dyDescent="0.25">
      <c r="D33" s="417"/>
      <c r="E33" s="519"/>
      <c r="F33" s="519"/>
      <c r="G33" s="519"/>
      <c r="H33" s="332"/>
      <c r="I33" s="325"/>
      <c r="K33" s="332"/>
    </row>
    <row r="34" spans="4:11" x14ac:dyDescent="0.25">
      <c r="D34" s="417"/>
      <c r="E34" s="519"/>
      <c r="F34" s="519"/>
      <c r="G34" s="519"/>
      <c r="H34" s="332"/>
      <c r="I34" s="325"/>
      <c r="K34" s="332"/>
    </row>
    <row r="35" spans="4:11" x14ac:dyDescent="0.25">
      <c r="D35" s="417"/>
      <c r="E35" s="418"/>
      <c r="F35" s="418"/>
      <c r="G35" s="418"/>
      <c r="H35" s="332"/>
      <c r="I35" s="325"/>
      <c r="K35" s="332"/>
    </row>
    <row r="36" spans="4:11" x14ac:dyDescent="0.25">
      <c r="H36" s="332"/>
      <c r="I36" s="325"/>
      <c r="K36" s="332"/>
    </row>
    <row r="37" spans="4:11" x14ac:dyDescent="0.25">
      <c r="H37" s="332"/>
      <c r="I37" s="325"/>
      <c r="K37" s="332"/>
    </row>
    <row r="38" spans="4:11" x14ac:dyDescent="0.25">
      <c r="K38" s="332"/>
    </row>
    <row r="44" spans="4:11" x14ac:dyDescent="0.25">
      <c r="D44" s="334"/>
    </row>
    <row r="113" spans="4:11" x14ac:dyDescent="0.25">
      <c r="H113" s="324"/>
    </row>
    <row r="114" spans="4:11" x14ac:dyDescent="0.25">
      <c r="D114" s="334"/>
      <c r="K114" s="324"/>
    </row>
    <row r="119" spans="4:11" x14ac:dyDescent="0.25">
      <c r="I119" s="335">
        <f>ROUND(F119*H119,2)</f>
        <v>0</v>
      </c>
    </row>
    <row r="121" spans="4:11" x14ac:dyDescent="0.25">
      <c r="D121" s="326"/>
    </row>
  </sheetData>
  <mergeCells count="20">
    <mergeCell ref="E22:H22"/>
    <mergeCell ref="B2:I2"/>
    <mergeCell ref="B4:I4"/>
    <mergeCell ref="B11:I11"/>
    <mergeCell ref="E16:H16"/>
    <mergeCell ref="H13:H14"/>
    <mergeCell ref="G13:G14"/>
    <mergeCell ref="F13:F14"/>
    <mergeCell ref="E13:E14"/>
    <mergeCell ref="E18:H18"/>
    <mergeCell ref="E34:G34"/>
    <mergeCell ref="C23:D23"/>
    <mergeCell ref="C24:D24"/>
    <mergeCell ref="C25:D25"/>
    <mergeCell ref="C26:D26"/>
    <mergeCell ref="F23:H23"/>
    <mergeCell ref="F24:H24"/>
    <mergeCell ref="F25:H25"/>
    <mergeCell ref="E32:G32"/>
    <mergeCell ref="E33:G3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fitToHeight="4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72"/>
  <sheetViews>
    <sheetView showGridLines="0" showZeros="0" topLeftCell="A8" zoomScale="80" workbookViewId="0">
      <pane xSplit="1" ySplit="2" topLeftCell="L10" activePane="bottomRight" state="frozen"/>
      <selection activeCell="A8" sqref="A8"/>
      <selection pane="topRight" activeCell="B8" sqref="B8"/>
      <selection pane="bottomLeft" activeCell="A10" sqref="A10"/>
      <selection pane="bottomRight" activeCell="O37" sqref="O37"/>
    </sheetView>
  </sheetViews>
  <sheetFormatPr defaultRowHeight="12.75" x14ac:dyDescent="0.2"/>
  <cols>
    <col min="1" max="1" width="16.28515625" style="1" customWidth="1"/>
    <col min="2" max="47" width="3.85546875" style="1" customWidth="1"/>
    <col min="48" max="48" width="8.140625" style="1" customWidth="1"/>
    <col min="49" max="16384" width="9.140625" style="1"/>
  </cols>
  <sheetData>
    <row r="1" spans="1:48" ht="23.25" customHeight="1" x14ac:dyDescent="0.2">
      <c r="A1" s="564" t="s">
        <v>106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</row>
    <row r="2" spans="1:48" ht="14.25" x14ac:dyDescent="0.2">
      <c r="A2" s="569" t="s">
        <v>202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</row>
    <row r="3" spans="1:48" ht="8.25" customHeight="1" x14ac:dyDescent="0.2"/>
    <row r="4" spans="1:48" ht="19.5" customHeight="1" x14ac:dyDescent="0.2">
      <c r="A4" s="570" t="s">
        <v>203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</row>
    <row r="5" spans="1:48" ht="28.5" customHeight="1" thickBot="1" x14ac:dyDescent="0.25">
      <c r="A5" s="568" t="s">
        <v>345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568"/>
      <c r="AL5" s="568"/>
      <c r="AM5" s="568"/>
      <c r="AN5" s="568"/>
      <c r="AO5" s="568"/>
      <c r="AP5" s="568"/>
      <c r="AQ5" s="568"/>
      <c r="AR5" s="568"/>
      <c r="AS5" s="568"/>
      <c r="AT5" s="568"/>
      <c r="AU5" s="568"/>
    </row>
    <row r="6" spans="1:48" ht="22.5" customHeight="1" thickBot="1" x14ac:dyDescent="0.25">
      <c r="A6" s="565" t="s">
        <v>204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6"/>
      <c r="AM6" s="566"/>
      <c r="AN6" s="566"/>
      <c r="AO6" s="566"/>
      <c r="AP6" s="566"/>
      <c r="AQ6" s="566"/>
      <c r="AR6" s="566"/>
      <c r="AS6" s="566"/>
      <c r="AT6" s="566"/>
      <c r="AU6" s="567"/>
    </row>
    <row r="7" spans="1:48" ht="7.5" customHeight="1" x14ac:dyDescent="0.2"/>
    <row r="8" spans="1:48" ht="27.75" customHeight="1" x14ac:dyDescent="0.2">
      <c r="A8" s="6" t="s">
        <v>201</v>
      </c>
      <c r="B8" s="563" t="s">
        <v>205</v>
      </c>
      <c r="C8" s="563"/>
      <c r="D8" s="563" t="s">
        <v>206</v>
      </c>
      <c r="E8" s="563"/>
      <c r="F8" s="563" t="s">
        <v>207</v>
      </c>
      <c r="G8" s="563"/>
      <c r="H8" s="563" t="s">
        <v>208</v>
      </c>
      <c r="I8" s="563"/>
      <c r="J8" s="563" t="s">
        <v>209</v>
      </c>
      <c r="K8" s="563"/>
      <c r="L8" s="563" t="s">
        <v>210</v>
      </c>
      <c r="M8" s="563"/>
      <c r="N8" s="563" t="s">
        <v>211</v>
      </c>
      <c r="O8" s="563"/>
      <c r="P8" s="563" t="s">
        <v>212</v>
      </c>
      <c r="Q8" s="563"/>
      <c r="R8" s="563" t="s">
        <v>213</v>
      </c>
      <c r="S8" s="563"/>
      <c r="T8" s="563" t="s">
        <v>214</v>
      </c>
      <c r="U8" s="563"/>
      <c r="V8" s="563" t="s">
        <v>215</v>
      </c>
      <c r="W8" s="563"/>
      <c r="X8" s="563" t="s">
        <v>216</v>
      </c>
      <c r="Y8" s="563"/>
      <c r="Z8" s="563" t="s">
        <v>217</v>
      </c>
      <c r="AA8" s="563"/>
      <c r="AB8" s="563" t="s">
        <v>218</v>
      </c>
      <c r="AC8" s="563"/>
      <c r="AD8" s="563" t="s">
        <v>219</v>
      </c>
      <c r="AE8" s="563"/>
      <c r="AF8" s="563" t="s">
        <v>220</v>
      </c>
      <c r="AG8" s="563"/>
      <c r="AH8" s="563" t="s">
        <v>153</v>
      </c>
      <c r="AI8" s="563"/>
      <c r="AJ8" s="563" t="s">
        <v>154</v>
      </c>
      <c r="AK8" s="563"/>
      <c r="AL8" s="563" t="s">
        <v>155</v>
      </c>
      <c r="AM8" s="563"/>
      <c r="AN8" s="563" t="s">
        <v>156</v>
      </c>
      <c r="AO8" s="563"/>
      <c r="AP8" s="563" t="s">
        <v>157</v>
      </c>
      <c r="AQ8" s="563"/>
      <c r="AR8" s="563" t="s">
        <v>158</v>
      </c>
      <c r="AS8" s="563"/>
      <c r="AT8" s="563" t="s">
        <v>200</v>
      </c>
      <c r="AU8" s="563"/>
    </row>
    <row r="9" spans="1:48" ht="31.5" customHeight="1" x14ac:dyDescent="0.2">
      <c r="A9" s="207" t="s">
        <v>221</v>
      </c>
      <c r="B9" s="4" t="s">
        <v>222</v>
      </c>
      <c r="C9" s="4" t="s">
        <v>36</v>
      </c>
      <c r="D9" s="4" t="s">
        <v>222</v>
      </c>
      <c r="E9" s="4" t="s">
        <v>36</v>
      </c>
      <c r="F9" s="4" t="s">
        <v>222</v>
      </c>
      <c r="G9" s="4" t="s">
        <v>36</v>
      </c>
      <c r="H9" s="4" t="s">
        <v>222</v>
      </c>
      <c r="I9" s="4" t="s">
        <v>36</v>
      </c>
      <c r="J9" s="4" t="s">
        <v>222</v>
      </c>
      <c r="K9" s="4" t="s">
        <v>36</v>
      </c>
      <c r="L9" s="4" t="s">
        <v>222</v>
      </c>
      <c r="M9" s="4" t="s">
        <v>36</v>
      </c>
      <c r="N9" s="4" t="s">
        <v>222</v>
      </c>
      <c r="O9" s="4" t="s">
        <v>36</v>
      </c>
      <c r="P9" s="4" t="s">
        <v>222</v>
      </c>
      <c r="Q9" s="4" t="s">
        <v>36</v>
      </c>
      <c r="R9" s="4" t="s">
        <v>222</v>
      </c>
      <c r="S9" s="4" t="s">
        <v>36</v>
      </c>
      <c r="T9" s="4" t="s">
        <v>222</v>
      </c>
      <c r="U9" s="4" t="s">
        <v>36</v>
      </c>
      <c r="V9" s="4" t="s">
        <v>222</v>
      </c>
      <c r="W9" s="4" t="s">
        <v>36</v>
      </c>
      <c r="X9" s="4" t="s">
        <v>222</v>
      </c>
      <c r="Y9" s="4" t="s">
        <v>36</v>
      </c>
      <c r="Z9" s="4" t="s">
        <v>222</v>
      </c>
      <c r="AA9" s="4" t="s">
        <v>36</v>
      </c>
      <c r="AB9" s="4" t="s">
        <v>222</v>
      </c>
      <c r="AC9" s="4" t="s">
        <v>36</v>
      </c>
      <c r="AD9" s="4" t="s">
        <v>222</v>
      </c>
      <c r="AE9" s="4" t="s">
        <v>36</v>
      </c>
      <c r="AF9" s="4" t="s">
        <v>222</v>
      </c>
      <c r="AG9" s="4" t="s">
        <v>36</v>
      </c>
      <c r="AH9" s="4" t="s">
        <v>222</v>
      </c>
      <c r="AI9" s="4" t="s">
        <v>36</v>
      </c>
      <c r="AJ9" s="4" t="s">
        <v>222</v>
      </c>
      <c r="AK9" s="4" t="s">
        <v>36</v>
      </c>
      <c r="AL9" s="4" t="s">
        <v>222</v>
      </c>
      <c r="AM9" s="4" t="s">
        <v>36</v>
      </c>
      <c r="AN9" s="4" t="s">
        <v>222</v>
      </c>
      <c r="AO9" s="4" t="s">
        <v>36</v>
      </c>
      <c r="AP9" s="4" t="s">
        <v>222</v>
      </c>
      <c r="AQ9" s="4" t="s">
        <v>36</v>
      </c>
      <c r="AR9" s="4" t="s">
        <v>222</v>
      </c>
      <c r="AS9" s="4" t="s">
        <v>36</v>
      </c>
      <c r="AT9" s="4" t="s">
        <v>222</v>
      </c>
      <c r="AU9" s="4" t="s">
        <v>36</v>
      </c>
    </row>
    <row r="10" spans="1:48" ht="76.5" customHeight="1" x14ac:dyDescent="0.2">
      <c r="A10" s="232" t="s">
        <v>90</v>
      </c>
      <c r="B10" s="561" t="s">
        <v>223</v>
      </c>
      <c r="C10" s="562"/>
      <c r="D10" s="562"/>
      <c r="E10" s="562"/>
      <c r="F10" s="562"/>
      <c r="G10" s="562"/>
      <c r="H10" s="562"/>
      <c r="I10" s="562"/>
      <c r="J10" s="221">
        <f t="shared" ref="J10:J51" si="0">ROUND(K10*$AT10,2)</f>
        <v>0</v>
      </c>
      <c r="K10" s="222"/>
      <c r="L10" s="221">
        <f t="shared" ref="L10:L17" si="1">ROUND(M10*$AT10,2)</f>
        <v>0</v>
      </c>
      <c r="M10" s="222"/>
      <c r="N10" s="221">
        <f t="shared" ref="N10:N17" si="2">ROUND(O10*$AT10,2)</f>
        <v>0</v>
      </c>
      <c r="O10" s="222"/>
      <c r="P10" s="221">
        <f t="shared" ref="P10:P51" si="3">ROUND(Q10*$AT10,2)</f>
        <v>0</v>
      </c>
      <c r="Q10" s="222"/>
      <c r="R10" s="221">
        <f t="shared" ref="R10:R51" si="4">ROUND(S10*$AT10,2)</f>
        <v>0</v>
      </c>
      <c r="S10" s="222"/>
      <c r="T10" s="221">
        <f t="shared" ref="T10:T20" si="5">ROUND(U10*$AT10,2)</f>
        <v>20457.48</v>
      </c>
      <c r="U10" s="222">
        <v>0.5</v>
      </c>
      <c r="V10" s="221">
        <f>ROUND(W10*$AT10,2)-0.01</f>
        <v>20457.47</v>
      </c>
      <c r="W10" s="222">
        <v>0.5</v>
      </c>
      <c r="X10" s="221">
        <f t="shared" ref="X10:X29" si="6">ROUND(Y10*$AT10,2)</f>
        <v>0</v>
      </c>
      <c r="Y10" s="222"/>
      <c r="Z10" s="221">
        <f t="shared" ref="Z10:Z51" si="7">ROUND(AA10*$AT10,2)</f>
        <v>0</v>
      </c>
      <c r="AA10" s="222"/>
      <c r="AB10" s="221">
        <f>ROUND(AC10*$AT10,2)</f>
        <v>0</v>
      </c>
      <c r="AC10" s="222"/>
      <c r="AD10" s="221">
        <f t="shared" ref="AD10:AD51" si="8">ROUND(AE10*$AT10,2)</f>
        <v>0</v>
      </c>
      <c r="AE10" s="222"/>
      <c r="AF10" s="221">
        <f t="shared" ref="AF10:AF34" si="9">ROUND(AG10*$AT10,2)</f>
        <v>0</v>
      </c>
      <c r="AG10" s="222"/>
      <c r="AH10" s="221">
        <f t="shared" ref="AH10:AH51" si="10">ROUND(AI10*$AT10,2)</f>
        <v>0</v>
      </c>
      <c r="AI10" s="222"/>
      <c r="AJ10" s="221">
        <f t="shared" ref="AJ10:AJ51" si="11">ROUND(AK10*$AT10,2)</f>
        <v>0</v>
      </c>
      <c r="AK10" s="222"/>
      <c r="AL10" s="221">
        <f t="shared" ref="AL10:AL44" si="12">ROUND(AM10*$AT10,2)</f>
        <v>0</v>
      </c>
      <c r="AM10" s="222"/>
      <c r="AN10" s="221">
        <f t="shared" ref="AN10:AN51" si="13">ROUND(AO10*$AT10,2)</f>
        <v>0</v>
      </c>
      <c r="AO10" s="222"/>
      <c r="AP10" s="221">
        <f t="shared" ref="AP10:AP47" si="14">ROUND(AQ10*$AT10,2)</f>
        <v>0</v>
      </c>
      <c r="AQ10" s="222"/>
      <c r="AR10" s="221">
        <f t="shared" ref="AR10:AR50" si="15">ROUND(AS10*$AT10,2)</f>
        <v>0</v>
      </c>
      <c r="AS10" s="222"/>
      <c r="AT10" s="221">
        <f>ROUND(SUM('Interceptor(mão-de-obra)'!L14:L22)+SUM('Interceptor (materiais)'!L16:L17),2)</f>
        <v>40914.949999999997</v>
      </c>
      <c r="AU10" s="222">
        <f t="shared" ref="AU10:AU41" si="16">SUMIF($J$9:$AS$9,AU$9,J10:AS10)</f>
        <v>1</v>
      </c>
      <c r="AV10" s="1">
        <f>SUMIF($J$9:$AS$9,AT$9,J10:AS10)-AT10</f>
        <v>0</v>
      </c>
    </row>
    <row r="11" spans="1:48" ht="76.5" customHeight="1" x14ac:dyDescent="0.2">
      <c r="A11" s="233" t="s">
        <v>346</v>
      </c>
      <c r="B11" s="561" t="s">
        <v>223</v>
      </c>
      <c r="C11" s="562"/>
      <c r="D11" s="562"/>
      <c r="E11" s="562"/>
      <c r="F11" s="562"/>
      <c r="G11" s="562"/>
      <c r="H11" s="562"/>
      <c r="I11" s="562"/>
      <c r="J11" s="221">
        <f t="shared" si="0"/>
        <v>0</v>
      </c>
      <c r="K11" s="222"/>
      <c r="L11" s="221">
        <f t="shared" si="1"/>
        <v>0</v>
      </c>
      <c r="M11" s="222"/>
      <c r="N11" s="221">
        <f t="shared" si="2"/>
        <v>0</v>
      </c>
      <c r="O11" s="222"/>
      <c r="P11" s="221">
        <f t="shared" si="3"/>
        <v>0</v>
      </c>
      <c r="Q11" s="222"/>
      <c r="R11" s="221">
        <f t="shared" si="4"/>
        <v>0</v>
      </c>
      <c r="S11" s="222"/>
      <c r="T11" s="221">
        <f t="shared" si="5"/>
        <v>0</v>
      </c>
      <c r="U11" s="222"/>
      <c r="V11" s="221">
        <f t="shared" ref="V11:V22" si="17">ROUND(W11*$AT11,2)</f>
        <v>13738.13</v>
      </c>
      <c r="W11" s="222">
        <v>0.5</v>
      </c>
      <c r="X11" s="221">
        <f t="shared" si="6"/>
        <v>13738.13</v>
      </c>
      <c r="Y11" s="222">
        <v>0.5</v>
      </c>
      <c r="Z11" s="221">
        <f t="shared" si="7"/>
        <v>0</v>
      </c>
      <c r="AA11" s="222"/>
      <c r="AB11" s="221">
        <f>ROUND(AC11*$AT11,2)</f>
        <v>0</v>
      </c>
      <c r="AC11" s="222"/>
      <c r="AD11" s="221">
        <f t="shared" si="8"/>
        <v>0</v>
      </c>
      <c r="AE11" s="222"/>
      <c r="AF11" s="221">
        <f t="shared" si="9"/>
        <v>0</v>
      </c>
      <c r="AG11" s="222"/>
      <c r="AH11" s="221">
        <f t="shared" si="10"/>
        <v>0</v>
      </c>
      <c r="AI11" s="222"/>
      <c r="AJ11" s="221">
        <f t="shared" si="11"/>
        <v>0</v>
      </c>
      <c r="AK11" s="222"/>
      <c r="AL11" s="221">
        <f t="shared" si="12"/>
        <v>0</v>
      </c>
      <c r="AM11" s="222"/>
      <c r="AN11" s="221">
        <f t="shared" si="13"/>
        <v>0</v>
      </c>
      <c r="AO11" s="222"/>
      <c r="AP11" s="221">
        <f t="shared" si="14"/>
        <v>0</v>
      </c>
      <c r="AQ11" s="222"/>
      <c r="AR11" s="221">
        <f t="shared" si="15"/>
        <v>0</v>
      </c>
      <c r="AS11" s="222"/>
      <c r="AT11" s="221">
        <f>ROUND(SUM('Interceptor(mão-de-obra)'!L28:L70),2)</f>
        <v>27476.26</v>
      </c>
      <c r="AU11" s="222">
        <f t="shared" si="16"/>
        <v>1</v>
      </c>
      <c r="AV11" s="1">
        <f>SUMIF($J$9:$AS$9,AT$9,J11:AS11)-AT11</f>
        <v>0</v>
      </c>
    </row>
    <row r="12" spans="1:48" ht="76.5" customHeight="1" x14ac:dyDescent="0.2">
      <c r="A12" s="233" t="s">
        <v>347</v>
      </c>
      <c r="B12" s="561" t="s">
        <v>223</v>
      </c>
      <c r="C12" s="562"/>
      <c r="D12" s="562"/>
      <c r="E12" s="562"/>
      <c r="F12" s="562"/>
      <c r="G12" s="562"/>
      <c r="H12" s="562"/>
      <c r="I12" s="562"/>
      <c r="J12" s="221">
        <f t="shared" si="0"/>
        <v>0</v>
      </c>
      <c r="K12" s="222"/>
      <c r="L12" s="221">
        <f t="shared" si="1"/>
        <v>0</v>
      </c>
      <c r="M12" s="222"/>
      <c r="N12" s="221">
        <f t="shared" si="2"/>
        <v>0</v>
      </c>
      <c r="O12" s="222"/>
      <c r="P12" s="221">
        <f t="shared" si="3"/>
        <v>0</v>
      </c>
      <c r="Q12" s="222"/>
      <c r="R12" s="221">
        <f t="shared" si="4"/>
        <v>0</v>
      </c>
      <c r="S12" s="222"/>
      <c r="T12" s="221">
        <f t="shared" si="5"/>
        <v>0</v>
      </c>
      <c r="U12" s="222"/>
      <c r="V12" s="221">
        <f t="shared" si="17"/>
        <v>0</v>
      </c>
      <c r="W12" s="222"/>
      <c r="X12" s="221">
        <f t="shared" si="6"/>
        <v>67422.880000000005</v>
      </c>
      <c r="Y12" s="222">
        <v>0.33329999999999999</v>
      </c>
      <c r="Z12" s="221">
        <f t="shared" si="7"/>
        <v>67422.880000000005</v>
      </c>
      <c r="AA12" s="222">
        <v>0.33329999999999999</v>
      </c>
      <c r="AB12" s="221">
        <f>ROUND(AC12*$AT12,2)+0.01</f>
        <v>67443.12</v>
      </c>
      <c r="AC12" s="222">
        <v>0.33339999999999997</v>
      </c>
      <c r="AD12" s="221">
        <f t="shared" si="8"/>
        <v>0</v>
      </c>
      <c r="AE12" s="222"/>
      <c r="AF12" s="221">
        <f t="shared" si="9"/>
        <v>0</v>
      </c>
      <c r="AG12" s="222"/>
      <c r="AH12" s="221">
        <f t="shared" si="10"/>
        <v>0</v>
      </c>
      <c r="AI12" s="222"/>
      <c r="AJ12" s="221">
        <f t="shared" si="11"/>
        <v>0</v>
      </c>
      <c r="AK12" s="222"/>
      <c r="AL12" s="221">
        <f t="shared" si="12"/>
        <v>0</v>
      </c>
      <c r="AM12" s="222"/>
      <c r="AN12" s="221">
        <f t="shared" si="13"/>
        <v>0</v>
      </c>
      <c r="AO12" s="222"/>
      <c r="AP12" s="221">
        <f t="shared" si="14"/>
        <v>0</v>
      </c>
      <c r="AQ12" s="222"/>
      <c r="AR12" s="221">
        <f t="shared" si="15"/>
        <v>0</v>
      </c>
      <c r="AS12" s="222"/>
      <c r="AT12" s="221">
        <f>ROUND(SUM('Interceptor(mão-de-obra)'!L83:L133)+SUM('Interceptor (materiais)'!L47:L121),2)</f>
        <v>202288.88</v>
      </c>
      <c r="AU12" s="222">
        <f t="shared" si="16"/>
        <v>1</v>
      </c>
      <c r="AV12" s="1">
        <f>SUMIF($J$9:$AS$9,AT$9,J12:AS12)-AT12</f>
        <v>0</v>
      </c>
    </row>
    <row r="13" spans="1:48" ht="76.5" customHeight="1" x14ac:dyDescent="0.2">
      <c r="A13" s="233" t="s">
        <v>348</v>
      </c>
      <c r="B13" s="561" t="s">
        <v>223</v>
      </c>
      <c r="C13" s="562"/>
      <c r="D13" s="562"/>
      <c r="E13" s="562"/>
      <c r="F13" s="562"/>
      <c r="G13" s="562"/>
      <c r="H13" s="562"/>
      <c r="I13" s="562"/>
      <c r="J13" s="221">
        <f t="shared" si="0"/>
        <v>0</v>
      </c>
      <c r="K13" s="222"/>
      <c r="L13" s="221">
        <f t="shared" si="1"/>
        <v>0</v>
      </c>
      <c r="M13" s="222"/>
      <c r="N13" s="221">
        <f t="shared" si="2"/>
        <v>0</v>
      </c>
      <c r="O13" s="222"/>
      <c r="P13" s="221">
        <f t="shared" si="3"/>
        <v>0</v>
      </c>
      <c r="Q13" s="222"/>
      <c r="R13" s="221">
        <f t="shared" si="4"/>
        <v>0</v>
      </c>
      <c r="S13" s="222"/>
      <c r="T13" s="221">
        <f t="shared" si="5"/>
        <v>0</v>
      </c>
      <c r="U13" s="222"/>
      <c r="V13" s="221">
        <f t="shared" si="17"/>
        <v>0</v>
      </c>
      <c r="W13" s="222"/>
      <c r="X13" s="221">
        <f t="shared" si="6"/>
        <v>0</v>
      </c>
      <c r="Y13" s="222"/>
      <c r="Z13" s="221">
        <f t="shared" si="7"/>
        <v>0</v>
      </c>
      <c r="AA13" s="222"/>
      <c r="AB13" s="221">
        <f t="shared" ref="AB13:AB30" si="18">ROUND(AC13*$AT13,2)</f>
        <v>41933.82</v>
      </c>
      <c r="AC13" s="222">
        <v>0.33329999999999999</v>
      </c>
      <c r="AD13" s="221">
        <f t="shared" si="8"/>
        <v>41933.82</v>
      </c>
      <c r="AE13" s="222">
        <v>0.33329999999999999</v>
      </c>
      <c r="AF13" s="221">
        <f t="shared" si="9"/>
        <v>41946.400000000001</v>
      </c>
      <c r="AG13" s="222">
        <v>0.33339999999999997</v>
      </c>
      <c r="AH13" s="221">
        <f t="shared" si="10"/>
        <v>0</v>
      </c>
      <c r="AI13" s="222"/>
      <c r="AJ13" s="221">
        <f t="shared" si="11"/>
        <v>0</v>
      </c>
      <c r="AK13" s="222"/>
      <c r="AL13" s="221">
        <f t="shared" si="12"/>
        <v>0</v>
      </c>
      <c r="AM13" s="222"/>
      <c r="AN13" s="221">
        <f t="shared" si="13"/>
        <v>0</v>
      </c>
      <c r="AO13" s="222"/>
      <c r="AP13" s="221">
        <f t="shared" si="14"/>
        <v>0</v>
      </c>
      <c r="AQ13" s="222"/>
      <c r="AR13" s="221">
        <f t="shared" si="15"/>
        <v>0</v>
      </c>
      <c r="AS13" s="222"/>
      <c r="AT13" s="221">
        <f>ROUND(SUM('Interceptor(mão-de-obra)'!L141:L163)+SUM('Interceptor (materiais)'!L125:L154),2)</f>
        <v>125814.04</v>
      </c>
      <c r="AU13" s="222">
        <f t="shared" si="16"/>
        <v>1</v>
      </c>
      <c r="AV13" s="1">
        <f>SUMIF($J$9:$AS$9,AT$9,J13:AS13)-AT13</f>
        <v>0</v>
      </c>
    </row>
    <row r="14" spans="1:48" ht="76.5" customHeight="1" x14ac:dyDescent="0.2">
      <c r="A14" s="232" t="s">
        <v>354</v>
      </c>
      <c r="B14" s="561" t="s">
        <v>223</v>
      </c>
      <c r="C14" s="562"/>
      <c r="D14" s="562"/>
      <c r="E14" s="562"/>
      <c r="F14" s="562"/>
      <c r="G14" s="562"/>
      <c r="H14" s="562"/>
      <c r="I14" s="562"/>
      <c r="J14" s="221" t="e">
        <f t="shared" si="0"/>
        <v>#REF!</v>
      </c>
      <c r="K14" s="222">
        <v>1</v>
      </c>
      <c r="L14" s="221" t="e">
        <f t="shared" si="1"/>
        <v>#REF!</v>
      </c>
      <c r="M14" s="222"/>
      <c r="N14" s="221" t="e">
        <f t="shared" si="2"/>
        <v>#REF!</v>
      </c>
      <c r="O14" s="222"/>
      <c r="P14" s="221" t="e">
        <f t="shared" si="3"/>
        <v>#REF!</v>
      </c>
      <c r="Q14" s="222"/>
      <c r="R14" s="221" t="e">
        <f t="shared" si="4"/>
        <v>#REF!</v>
      </c>
      <c r="S14" s="222"/>
      <c r="T14" s="221" t="e">
        <f t="shared" si="5"/>
        <v>#REF!</v>
      </c>
      <c r="U14" s="222"/>
      <c r="V14" s="221" t="e">
        <f t="shared" si="17"/>
        <v>#REF!</v>
      </c>
      <c r="W14" s="222"/>
      <c r="X14" s="221" t="e">
        <f t="shared" si="6"/>
        <v>#REF!</v>
      </c>
      <c r="Y14" s="222"/>
      <c r="Z14" s="221" t="e">
        <f t="shared" si="7"/>
        <v>#REF!</v>
      </c>
      <c r="AA14" s="222"/>
      <c r="AB14" s="221" t="e">
        <f t="shared" si="18"/>
        <v>#REF!</v>
      </c>
      <c r="AC14" s="222"/>
      <c r="AD14" s="221" t="e">
        <f t="shared" si="8"/>
        <v>#REF!</v>
      </c>
      <c r="AE14" s="222"/>
      <c r="AF14" s="221" t="e">
        <f t="shared" si="9"/>
        <v>#REF!</v>
      </c>
      <c r="AG14" s="222"/>
      <c r="AH14" s="221" t="e">
        <f t="shared" si="10"/>
        <v>#REF!</v>
      </c>
      <c r="AI14" s="222"/>
      <c r="AJ14" s="221" t="e">
        <f t="shared" si="11"/>
        <v>#REF!</v>
      </c>
      <c r="AK14" s="222"/>
      <c r="AL14" s="221" t="e">
        <f t="shared" si="12"/>
        <v>#REF!</v>
      </c>
      <c r="AM14" s="222"/>
      <c r="AN14" s="221" t="e">
        <f t="shared" si="13"/>
        <v>#REF!</v>
      </c>
      <c r="AO14" s="222"/>
      <c r="AP14" s="221" t="e">
        <f t="shared" si="14"/>
        <v>#REF!</v>
      </c>
      <c r="AQ14" s="222"/>
      <c r="AR14" s="221" t="e">
        <f t="shared" si="15"/>
        <v>#REF!</v>
      </c>
      <c r="AS14" s="222"/>
      <c r="AT14" s="221" t="e">
        <f>#REF!-0.01</f>
        <v>#REF!</v>
      </c>
      <c r="AU14" s="222">
        <f t="shared" si="16"/>
        <v>1</v>
      </c>
      <c r="AV14" s="1" t="e">
        <f>SUMIF($J$9:$AS$9,AT$9,J14:AS14)-AT14</f>
        <v>#REF!</v>
      </c>
    </row>
    <row r="15" spans="1:48" ht="76.5" customHeight="1" x14ac:dyDescent="0.2">
      <c r="A15" s="234" t="s">
        <v>353</v>
      </c>
      <c r="B15" s="561" t="s">
        <v>223</v>
      </c>
      <c r="C15" s="562"/>
      <c r="D15" s="562"/>
      <c r="E15" s="562"/>
      <c r="F15" s="562"/>
      <c r="G15" s="562"/>
      <c r="H15" s="562"/>
      <c r="I15" s="562"/>
      <c r="J15" s="221" t="e">
        <f t="shared" si="0"/>
        <v>#REF!</v>
      </c>
      <c r="K15" s="222">
        <v>1</v>
      </c>
      <c r="L15" s="221" t="e">
        <f t="shared" si="1"/>
        <v>#REF!</v>
      </c>
      <c r="M15" s="222"/>
      <c r="N15" s="221" t="e">
        <f t="shared" si="2"/>
        <v>#REF!</v>
      </c>
      <c r="O15" s="222"/>
      <c r="P15" s="221" t="e">
        <f t="shared" si="3"/>
        <v>#REF!</v>
      </c>
      <c r="Q15" s="222"/>
      <c r="R15" s="221" t="e">
        <f t="shared" si="4"/>
        <v>#REF!</v>
      </c>
      <c r="S15" s="222"/>
      <c r="T15" s="221" t="e">
        <f t="shared" si="5"/>
        <v>#REF!</v>
      </c>
      <c r="U15" s="222"/>
      <c r="V15" s="221" t="e">
        <f t="shared" si="17"/>
        <v>#REF!</v>
      </c>
      <c r="W15" s="222"/>
      <c r="X15" s="221" t="e">
        <f t="shared" si="6"/>
        <v>#REF!</v>
      </c>
      <c r="Y15" s="222"/>
      <c r="Z15" s="221" t="e">
        <f t="shared" si="7"/>
        <v>#REF!</v>
      </c>
      <c r="AA15" s="222"/>
      <c r="AB15" s="221" t="e">
        <f t="shared" si="18"/>
        <v>#REF!</v>
      </c>
      <c r="AC15" s="222"/>
      <c r="AD15" s="221" t="e">
        <f t="shared" si="8"/>
        <v>#REF!</v>
      </c>
      <c r="AE15" s="222"/>
      <c r="AF15" s="221" t="e">
        <f t="shared" si="9"/>
        <v>#REF!</v>
      </c>
      <c r="AG15" s="222"/>
      <c r="AH15" s="221" t="e">
        <f t="shared" si="10"/>
        <v>#REF!</v>
      </c>
      <c r="AI15" s="222"/>
      <c r="AJ15" s="221" t="e">
        <f t="shared" si="11"/>
        <v>#REF!</v>
      </c>
      <c r="AK15" s="222"/>
      <c r="AL15" s="221" t="e">
        <f t="shared" si="12"/>
        <v>#REF!</v>
      </c>
      <c r="AM15" s="222"/>
      <c r="AN15" s="221" t="e">
        <f t="shared" si="13"/>
        <v>#REF!</v>
      </c>
      <c r="AO15" s="222"/>
      <c r="AP15" s="221" t="e">
        <f t="shared" si="14"/>
        <v>#REF!</v>
      </c>
      <c r="AQ15" s="222"/>
      <c r="AR15" s="221" t="e">
        <f t="shared" si="15"/>
        <v>#REF!</v>
      </c>
      <c r="AS15" s="222"/>
      <c r="AT15" s="221" t="e">
        <f>ROUND(#REF!,2)</f>
        <v>#REF!</v>
      </c>
      <c r="AU15" s="222">
        <f t="shared" si="16"/>
        <v>1</v>
      </c>
      <c r="AV15" s="1" t="e">
        <f t="shared" ref="AV15:AV51" si="19">SUMIF($J$9:$AS$9,AT$9,J15:AS15)-AT15</f>
        <v>#REF!</v>
      </c>
    </row>
    <row r="16" spans="1:48" ht="76.5" customHeight="1" x14ac:dyDescent="0.2">
      <c r="A16" s="233" t="s">
        <v>351</v>
      </c>
      <c r="B16" s="561" t="s">
        <v>223</v>
      </c>
      <c r="C16" s="562"/>
      <c r="D16" s="562"/>
      <c r="E16" s="562"/>
      <c r="F16" s="562"/>
      <c r="G16" s="562"/>
      <c r="H16" s="562"/>
      <c r="I16" s="562"/>
      <c r="J16" s="221" t="e">
        <f t="shared" si="0"/>
        <v>#REF!</v>
      </c>
      <c r="K16" s="222">
        <v>0.5</v>
      </c>
      <c r="L16" s="221" t="e">
        <f t="shared" si="1"/>
        <v>#REF!</v>
      </c>
      <c r="M16" s="222">
        <v>0.5</v>
      </c>
      <c r="N16" s="221" t="e">
        <f t="shared" si="2"/>
        <v>#REF!</v>
      </c>
      <c r="O16" s="222"/>
      <c r="P16" s="221" t="e">
        <f t="shared" si="3"/>
        <v>#REF!</v>
      </c>
      <c r="Q16" s="222"/>
      <c r="R16" s="221" t="e">
        <f t="shared" si="4"/>
        <v>#REF!</v>
      </c>
      <c r="S16" s="222"/>
      <c r="T16" s="221" t="e">
        <f t="shared" si="5"/>
        <v>#REF!</v>
      </c>
      <c r="U16" s="222"/>
      <c r="V16" s="221" t="e">
        <f t="shared" si="17"/>
        <v>#REF!</v>
      </c>
      <c r="W16" s="222"/>
      <c r="X16" s="221" t="e">
        <f t="shared" si="6"/>
        <v>#REF!</v>
      </c>
      <c r="Y16" s="222"/>
      <c r="Z16" s="221" t="e">
        <f t="shared" si="7"/>
        <v>#REF!</v>
      </c>
      <c r="AA16" s="222"/>
      <c r="AB16" s="221" t="e">
        <f t="shared" si="18"/>
        <v>#REF!</v>
      </c>
      <c r="AC16" s="222"/>
      <c r="AD16" s="221" t="e">
        <f t="shared" si="8"/>
        <v>#REF!</v>
      </c>
      <c r="AE16" s="222"/>
      <c r="AF16" s="221" t="e">
        <f t="shared" si="9"/>
        <v>#REF!</v>
      </c>
      <c r="AG16" s="222"/>
      <c r="AH16" s="221" t="e">
        <f t="shared" si="10"/>
        <v>#REF!</v>
      </c>
      <c r="AI16" s="222"/>
      <c r="AJ16" s="221" t="e">
        <f t="shared" si="11"/>
        <v>#REF!</v>
      </c>
      <c r="AK16" s="222"/>
      <c r="AL16" s="221" t="e">
        <f t="shared" si="12"/>
        <v>#REF!</v>
      </c>
      <c r="AM16" s="222"/>
      <c r="AN16" s="221" t="e">
        <f t="shared" si="13"/>
        <v>#REF!</v>
      </c>
      <c r="AO16" s="222"/>
      <c r="AP16" s="221" t="e">
        <f t="shared" si="14"/>
        <v>#REF!</v>
      </c>
      <c r="AQ16" s="222"/>
      <c r="AR16" s="221" t="e">
        <f t="shared" si="15"/>
        <v>#REF!</v>
      </c>
      <c r="AS16" s="222"/>
      <c r="AT16" s="221" t="e">
        <f>ROUND(#REF!,2)</f>
        <v>#REF!</v>
      </c>
      <c r="AU16" s="222">
        <f t="shared" si="16"/>
        <v>1</v>
      </c>
      <c r="AV16" s="1" t="e">
        <f t="shared" si="19"/>
        <v>#REF!</v>
      </c>
    </row>
    <row r="17" spans="1:48" ht="76.5" customHeight="1" x14ac:dyDescent="0.2">
      <c r="A17" s="233" t="s">
        <v>350</v>
      </c>
      <c r="B17" s="561" t="s">
        <v>223</v>
      </c>
      <c r="C17" s="562"/>
      <c r="D17" s="562"/>
      <c r="E17" s="562"/>
      <c r="F17" s="562"/>
      <c r="G17" s="562"/>
      <c r="H17" s="562"/>
      <c r="I17" s="562"/>
      <c r="J17" s="221" t="e">
        <f t="shared" si="0"/>
        <v>#REF!</v>
      </c>
      <c r="K17" s="222"/>
      <c r="L17" s="221" t="e">
        <f t="shared" si="1"/>
        <v>#REF!</v>
      </c>
      <c r="M17" s="222">
        <v>1</v>
      </c>
      <c r="N17" s="221" t="e">
        <f t="shared" si="2"/>
        <v>#REF!</v>
      </c>
      <c r="O17" s="222"/>
      <c r="P17" s="221" t="e">
        <f t="shared" si="3"/>
        <v>#REF!</v>
      </c>
      <c r="Q17" s="222"/>
      <c r="R17" s="221" t="e">
        <f t="shared" si="4"/>
        <v>#REF!</v>
      </c>
      <c r="S17" s="222"/>
      <c r="T17" s="221" t="e">
        <f t="shared" si="5"/>
        <v>#REF!</v>
      </c>
      <c r="U17" s="222"/>
      <c r="V17" s="221" t="e">
        <f t="shared" si="17"/>
        <v>#REF!</v>
      </c>
      <c r="W17" s="222"/>
      <c r="X17" s="221" t="e">
        <f t="shared" si="6"/>
        <v>#REF!</v>
      </c>
      <c r="Y17" s="222"/>
      <c r="Z17" s="221" t="e">
        <f t="shared" si="7"/>
        <v>#REF!</v>
      </c>
      <c r="AA17" s="222"/>
      <c r="AB17" s="221" t="e">
        <f t="shared" si="18"/>
        <v>#REF!</v>
      </c>
      <c r="AC17" s="222"/>
      <c r="AD17" s="221" t="e">
        <f t="shared" si="8"/>
        <v>#REF!</v>
      </c>
      <c r="AE17" s="222"/>
      <c r="AF17" s="221" t="e">
        <f t="shared" si="9"/>
        <v>#REF!</v>
      </c>
      <c r="AG17" s="222"/>
      <c r="AH17" s="221" t="e">
        <f t="shared" si="10"/>
        <v>#REF!</v>
      </c>
      <c r="AI17" s="222"/>
      <c r="AJ17" s="221" t="e">
        <f t="shared" si="11"/>
        <v>#REF!</v>
      </c>
      <c r="AK17" s="222"/>
      <c r="AL17" s="221" t="e">
        <f t="shared" si="12"/>
        <v>#REF!</v>
      </c>
      <c r="AM17" s="222"/>
      <c r="AN17" s="221" t="e">
        <f t="shared" si="13"/>
        <v>#REF!</v>
      </c>
      <c r="AO17" s="222"/>
      <c r="AP17" s="221" t="e">
        <f t="shared" si="14"/>
        <v>#REF!</v>
      </c>
      <c r="AQ17" s="222"/>
      <c r="AR17" s="221" t="e">
        <f t="shared" si="15"/>
        <v>#REF!</v>
      </c>
      <c r="AS17" s="222"/>
      <c r="AT17" s="221" t="e">
        <f>ROUND(#REF!,2)</f>
        <v>#REF!</v>
      </c>
      <c r="AU17" s="222">
        <f t="shared" si="16"/>
        <v>1</v>
      </c>
      <c r="AV17" s="1" t="e">
        <f t="shared" si="19"/>
        <v>#REF!</v>
      </c>
    </row>
    <row r="18" spans="1:48" ht="76.5" customHeight="1" x14ac:dyDescent="0.2">
      <c r="A18" s="234" t="s">
        <v>355</v>
      </c>
      <c r="B18" s="561" t="s">
        <v>223</v>
      </c>
      <c r="C18" s="562"/>
      <c r="D18" s="562"/>
      <c r="E18" s="562"/>
      <c r="F18" s="562"/>
      <c r="G18" s="562"/>
      <c r="H18" s="562"/>
      <c r="I18" s="562"/>
      <c r="J18" s="221" t="e">
        <f t="shared" si="0"/>
        <v>#REF!</v>
      </c>
      <c r="K18" s="222"/>
      <c r="L18" s="221" t="e">
        <f t="shared" ref="L18:N25" si="20">ROUND(M18*$AT18,2)</f>
        <v>#REF!</v>
      </c>
      <c r="M18" s="222">
        <v>1</v>
      </c>
      <c r="N18" s="221" t="e">
        <f t="shared" si="20"/>
        <v>#REF!</v>
      </c>
      <c r="O18" s="222"/>
      <c r="P18" s="221" t="e">
        <f t="shared" si="3"/>
        <v>#REF!</v>
      </c>
      <c r="Q18" s="222"/>
      <c r="R18" s="221" t="e">
        <f t="shared" si="4"/>
        <v>#REF!</v>
      </c>
      <c r="S18" s="222"/>
      <c r="T18" s="221" t="e">
        <f t="shared" si="5"/>
        <v>#REF!</v>
      </c>
      <c r="U18" s="222"/>
      <c r="V18" s="221" t="e">
        <f t="shared" si="17"/>
        <v>#REF!</v>
      </c>
      <c r="W18" s="222"/>
      <c r="X18" s="221" t="e">
        <f t="shared" si="6"/>
        <v>#REF!</v>
      </c>
      <c r="Y18" s="222"/>
      <c r="Z18" s="221" t="e">
        <f t="shared" si="7"/>
        <v>#REF!</v>
      </c>
      <c r="AA18" s="222"/>
      <c r="AB18" s="221" t="e">
        <f t="shared" si="18"/>
        <v>#REF!</v>
      </c>
      <c r="AC18" s="222"/>
      <c r="AD18" s="221" t="e">
        <f t="shared" si="8"/>
        <v>#REF!</v>
      </c>
      <c r="AE18" s="222"/>
      <c r="AF18" s="221" t="e">
        <f t="shared" si="9"/>
        <v>#REF!</v>
      </c>
      <c r="AG18" s="222"/>
      <c r="AH18" s="221" t="e">
        <f t="shared" si="10"/>
        <v>#REF!</v>
      </c>
      <c r="AI18" s="222"/>
      <c r="AJ18" s="221" t="e">
        <f t="shared" si="11"/>
        <v>#REF!</v>
      </c>
      <c r="AK18" s="222"/>
      <c r="AL18" s="221" t="e">
        <f t="shared" si="12"/>
        <v>#REF!</v>
      </c>
      <c r="AM18" s="222"/>
      <c r="AN18" s="221" t="e">
        <f t="shared" si="13"/>
        <v>#REF!</v>
      </c>
      <c r="AO18" s="222"/>
      <c r="AP18" s="221" t="e">
        <f t="shared" si="14"/>
        <v>#REF!</v>
      </c>
      <c r="AQ18" s="222"/>
      <c r="AR18" s="221" t="e">
        <f t="shared" si="15"/>
        <v>#REF!</v>
      </c>
      <c r="AS18" s="222"/>
      <c r="AT18" s="221" t="e">
        <f>#REF!</f>
        <v>#REF!</v>
      </c>
      <c r="AU18" s="222">
        <f t="shared" si="16"/>
        <v>1</v>
      </c>
      <c r="AV18" s="1" t="e">
        <f t="shared" si="19"/>
        <v>#REF!</v>
      </c>
    </row>
    <row r="19" spans="1:48" ht="76.5" customHeight="1" x14ac:dyDescent="0.2">
      <c r="A19" s="233" t="s">
        <v>352</v>
      </c>
      <c r="B19" s="561" t="s">
        <v>223</v>
      </c>
      <c r="C19" s="562"/>
      <c r="D19" s="562"/>
      <c r="E19" s="562"/>
      <c r="F19" s="562"/>
      <c r="G19" s="562"/>
      <c r="H19" s="562"/>
      <c r="I19" s="562"/>
      <c r="J19" s="221" t="e">
        <f t="shared" si="0"/>
        <v>#REF!</v>
      </c>
      <c r="K19" s="222"/>
      <c r="L19" s="221" t="e">
        <f t="shared" si="20"/>
        <v>#REF!</v>
      </c>
      <c r="M19" s="222">
        <v>0.5</v>
      </c>
      <c r="N19" s="221" t="e">
        <f>ROUND(O19*$AT19,2)-0.01</f>
        <v>#REF!</v>
      </c>
      <c r="O19" s="222">
        <v>0.5</v>
      </c>
      <c r="P19" s="221" t="e">
        <f t="shared" si="3"/>
        <v>#REF!</v>
      </c>
      <c r="Q19" s="222"/>
      <c r="R19" s="221" t="e">
        <f t="shared" si="4"/>
        <v>#REF!</v>
      </c>
      <c r="S19" s="222"/>
      <c r="T19" s="221" t="e">
        <f t="shared" si="5"/>
        <v>#REF!</v>
      </c>
      <c r="U19" s="222"/>
      <c r="V19" s="221" t="e">
        <f t="shared" si="17"/>
        <v>#REF!</v>
      </c>
      <c r="W19" s="222"/>
      <c r="X19" s="221" t="e">
        <f t="shared" si="6"/>
        <v>#REF!</v>
      </c>
      <c r="Y19" s="222"/>
      <c r="Z19" s="221" t="e">
        <f t="shared" si="7"/>
        <v>#REF!</v>
      </c>
      <c r="AA19" s="222"/>
      <c r="AB19" s="221" t="e">
        <f t="shared" si="18"/>
        <v>#REF!</v>
      </c>
      <c r="AC19" s="222"/>
      <c r="AD19" s="221" t="e">
        <f t="shared" si="8"/>
        <v>#REF!</v>
      </c>
      <c r="AE19" s="222"/>
      <c r="AF19" s="221" t="e">
        <f t="shared" si="9"/>
        <v>#REF!</v>
      </c>
      <c r="AG19" s="222"/>
      <c r="AH19" s="221" t="e">
        <f t="shared" si="10"/>
        <v>#REF!</v>
      </c>
      <c r="AI19" s="222"/>
      <c r="AJ19" s="221" t="e">
        <f t="shared" si="11"/>
        <v>#REF!</v>
      </c>
      <c r="AK19" s="222"/>
      <c r="AL19" s="221" t="e">
        <f t="shared" si="12"/>
        <v>#REF!</v>
      </c>
      <c r="AM19" s="222"/>
      <c r="AN19" s="221" t="e">
        <f t="shared" si="13"/>
        <v>#REF!</v>
      </c>
      <c r="AO19" s="222"/>
      <c r="AP19" s="221" t="e">
        <f t="shared" si="14"/>
        <v>#REF!</v>
      </c>
      <c r="AQ19" s="222"/>
      <c r="AR19" s="221" t="e">
        <f t="shared" si="15"/>
        <v>#REF!</v>
      </c>
      <c r="AS19" s="222"/>
      <c r="AT19" s="221" t="e">
        <f>#REF!</f>
        <v>#REF!</v>
      </c>
      <c r="AU19" s="222">
        <f t="shared" si="16"/>
        <v>1</v>
      </c>
      <c r="AV19" s="1" t="e">
        <f t="shared" si="19"/>
        <v>#REF!</v>
      </c>
    </row>
    <row r="20" spans="1:48" ht="76.5" customHeight="1" x14ac:dyDescent="0.2">
      <c r="A20" s="234" t="s">
        <v>357</v>
      </c>
      <c r="B20" s="561" t="s">
        <v>223</v>
      </c>
      <c r="C20" s="562"/>
      <c r="D20" s="562"/>
      <c r="E20" s="562"/>
      <c r="F20" s="562"/>
      <c r="G20" s="562"/>
      <c r="H20" s="562"/>
      <c r="I20" s="562"/>
      <c r="J20" s="221" t="e">
        <f t="shared" si="0"/>
        <v>#REF!</v>
      </c>
      <c r="K20" s="222"/>
      <c r="L20" s="221" t="e">
        <f t="shared" si="20"/>
        <v>#REF!</v>
      </c>
      <c r="M20" s="222"/>
      <c r="N20" s="221" t="e">
        <f t="shared" si="20"/>
        <v>#REF!</v>
      </c>
      <c r="O20" s="222">
        <v>1</v>
      </c>
      <c r="P20" s="221" t="e">
        <f t="shared" si="3"/>
        <v>#REF!</v>
      </c>
      <c r="Q20" s="222"/>
      <c r="R20" s="221" t="e">
        <f t="shared" si="4"/>
        <v>#REF!</v>
      </c>
      <c r="S20" s="222"/>
      <c r="T20" s="221" t="e">
        <f t="shared" si="5"/>
        <v>#REF!</v>
      </c>
      <c r="U20" s="222"/>
      <c r="V20" s="221" t="e">
        <f t="shared" si="17"/>
        <v>#REF!</v>
      </c>
      <c r="W20" s="222"/>
      <c r="X20" s="221" t="e">
        <f t="shared" si="6"/>
        <v>#REF!</v>
      </c>
      <c r="Y20" s="222"/>
      <c r="Z20" s="221" t="e">
        <f t="shared" si="7"/>
        <v>#REF!</v>
      </c>
      <c r="AA20" s="222"/>
      <c r="AB20" s="221" t="e">
        <f t="shared" si="18"/>
        <v>#REF!</v>
      </c>
      <c r="AC20" s="222"/>
      <c r="AD20" s="221" t="e">
        <f t="shared" si="8"/>
        <v>#REF!</v>
      </c>
      <c r="AE20" s="222"/>
      <c r="AF20" s="221" t="e">
        <f t="shared" si="9"/>
        <v>#REF!</v>
      </c>
      <c r="AG20" s="222"/>
      <c r="AH20" s="221" t="e">
        <f t="shared" si="10"/>
        <v>#REF!</v>
      </c>
      <c r="AI20" s="222"/>
      <c r="AJ20" s="221" t="e">
        <f t="shared" si="11"/>
        <v>#REF!</v>
      </c>
      <c r="AK20" s="222"/>
      <c r="AL20" s="221" t="e">
        <f t="shared" si="12"/>
        <v>#REF!</v>
      </c>
      <c r="AM20" s="222"/>
      <c r="AN20" s="221" t="e">
        <f t="shared" si="13"/>
        <v>#REF!</v>
      </c>
      <c r="AO20" s="222"/>
      <c r="AP20" s="221" t="e">
        <f t="shared" si="14"/>
        <v>#REF!</v>
      </c>
      <c r="AQ20" s="222"/>
      <c r="AR20" s="221" t="e">
        <f t="shared" si="15"/>
        <v>#REF!</v>
      </c>
      <c r="AS20" s="222"/>
      <c r="AT20" s="221" t="e">
        <f>#REF!</f>
        <v>#REF!</v>
      </c>
      <c r="AU20" s="222">
        <f t="shared" si="16"/>
        <v>1</v>
      </c>
      <c r="AV20" s="1" t="e">
        <f t="shared" si="19"/>
        <v>#REF!</v>
      </c>
    </row>
    <row r="21" spans="1:48" ht="76.5" customHeight="1" x14ac:dyDescent="0.2">
      <c r="A21" s="233" t="s">
        <v>358</v>
      </c>
      <c r="B21" s="561" t="s">
        <v>223</v>
      </c>
      <c r="C21" s="562"/>
      <c r="D21" s="562"/>
      <c r="E21" s="562"/>
      <c r="F21" s="562"/>
      <c r="G21" s="562"/>
      <c r="H21" s="562"/>
      <c r="I21" s="562"/>
      <c r="J21" s="221" t="e">
        <f t="shared" si="0"/>
        <v>#REF!</v>
      </c>
      <c r="K21" s="222"/>
      <c r="L21" s="221" t="e">
        <f t="shared" si="20"/>
        <v>#REF!</v>
      </c>
      <c r="M21" s="222"/>
      <c r="N21" s="221" t="e">
        <f t="shared" si="20"/>
        <v>#REF!</v>
      </c>
      <c r="O21" s="222">
        <v>0.33</v>
      </c>
      <c r="P21" s="221" t="e">
        <f t="shared" si="3"/>
        <v>#REF!</v>
      </c>
      <c r="Q21" s="222">
        <v>0.33</v>
      </c>
      <c r="R21" s="221" t="e">
        <f t="shared" si="4"/>
        <v>#REF!</v>
      </c>
      <c r="S21" s="222"/>
      <c r="T21" s="221" t="e">
        <f>ROUND(U21*$AT21,2)+0.01</f>
        <v>#REF!</v>
      </c>
      <c r="U21" s="222">
        <v>0.34</v>
      </c>
      <c r="V21" s="221" t="e">
        <f t="shared" si="17"/>
        <v>#REF!</v>
      </c>
      <c r="W21" s="222"/>
      <c r="X21" s="221" t="e">
        <f t="shared" si="6"/>
        <v>#REF!</v>
      </c>
      <c r="Y21" s="222"/>
      <c r="Z21" s="221" t="e">
        <f t="shared" si="7"/>
        <v>#REF!</v>
      </c>
      <c r="AA21" s="222"/>
      <c r="AB21" s="221" t="e">
        <f t="shared" si="18"/>
        <v>#REF!</v>
      </c>
      <c r="AC21" s="222"/>
      <c r="AD21" s="221" t="e">
        <f t="shared" si="8"/>
        <v>#REF!</v>
      </c>
      <c r="AE21" s="222"/>
      <c r="AF21" s="221" t="e">
        <f t="shared" si="9"/>
        <v>#REF!</v>
      </c>
      <c r="AG21" s="222"/>
      <c r="AH21" s="221" t="e">
        <f t="shared" si="10"/>
        <v>#REF!</v>
      </c>
      <c r="AI21" s="222"/>
      <c r="AJ21" s="221" t="e">
        <f t="shared" si="11"/>
        <v>#REF!</v>
      </c>
      <c r="AK21" s="222"/>
      <c r="AL21" s="221" t="e">
        <f t="shared" si="12"/>
        <v>#REF!</v>
      </c>
      <c r="AM21" s="222"/>
      <c r="AN21" s="221" t="e">
        <f t="shared" si="13"/>
        <v>#REF!</v>
      </c>
      <c r="AO21" s="222"/>
      <c r="AP21" s="221" t="e">
        <f t="shared" si="14"/>
        <v>#REF!</v>
      </c>
      <c r="AQ21" s="222"/>
      <c r="AR21" s="221" t="e">
        <f t="shared" si="15"/>
        <v>#REF!</v>
      </c>
      <c r="AS21" s="222"/>
      <c r="AT21" s="221" t="e">
        <f>#REF!</f>
        <v>#REF!</v>
      </c>
      <c r="AU21" s="222">
        <f t="shared" si="16"/>
        <v>1</v>
      </c>
      <c r="AV21" s="1" t="e">
        <f t="shared" si="19"/>
        <v>#REF!</v>
      </c>
    </row>
    <row r="22" spans="1:48" ht="76.5" customHeight="1" x14ac:dyDescent="0.2">
      <c r="A22" s="233" t="s">
        <v>126</v>
      </c>
      <c r="B22" s="561" t="s">
        <v>223</v>
      </c>
      <c r="C22" s="562"/>
      <c r="D22" s="562"/>
      <c r="E22" s="562"/>
      <c r="F22" s="562"/>
      <c r="G22" s="562"/>
      <c r="H22" s="562"/>
      <c r="I22" s="562"/>
      <c r="J22" s="221" t="e">
        <f t="shared" si="0"/>
        <v>#REF!</v>
      </c>
      <c r="K22" s="222"/>
      <c r="L22" s="221" t="e">
        <f t="shared" si="20"/>
        <v>#REF!</v>
      </c>
      <c r="M22" s="222"/>
      <c r="N22" s="221" t="e">
        <f t="shared" si="20"/>
        <v>#REF!</v>
      </c>
      <c r="O22" s="222"/>
      <c r="P22" s="221" t="e">
        <f t="shared" si="3"/>
        <v>#REF!</v>
      </c>
      <c r="Q22" s="222">
        <v>0.33</v>
      </c>
      <c r="R22" s="221" t="e">
        <f t="shared" si="4"/>
        <v>#REF!</v>
      </c>
      <c r="S22" s="222">
        <v>0.33</v>
      </c>
      <c r="T22" s="221" t="e">
        <f>ROUND(U22*$AT22,2)-0.01</f>
        <v>#REF!</v>
      </c>
      <c r="U22" s="222">
        <v>0.34</v>
      </c>
      <c r="V22" s="221" t="e">
        <f t="shared" si="17"/>
        <v>#REF!</v>
      </c>
      <c r="W22" s="222"/>
      <c r="X22" s="221" t="e">
        <f t="shared" si="6"/>
        <v>#REF!</v>
      </c>
      <c r="Y22" s="222"/>
      <c r="Z22" s="221" t="e">
        <f t="shared" si="7"/>
        <v>#REF!</v>
      </c>
      <c r="AA22" s="222"/>
      <c r="AB22" s="221" t="e">
        <f t="shared" si="18"/>
        <v>#REF!</v>
      </c>
      <c r="AC22" s="222"/>
      <c r="AD22" s="221" t="e">
        <f t="shared" si="8"/>
        <v>#REF!</v>
      </c>
      <c r="AE22" s="222"/>
      <c r="AF22" s="221" t="e">
        <f t="shared" si="9"/>
        <v>#REF!</v>
      </c>
      <c r="AG22" s="222"/>
      <c r="AH22" s="221" t="e">
        <f t="shared" si="10"/>
        <v>#REF!</v>
      </c>
      <c r="AI22" s="222"/>
      <c r="AJ22" s="221" t="e">
        <f t="shared" si="11"/>
        <v>#REF!</v>
      </c>
      <c r="AK22" s="222"/>
      <c r="AL22" s="221" t="e">
        <f t="shared" si="12"/>
        <v>#REF!</v>
      </c>
      <c r="AM22" s="222"/>
      <c r="AN22" s="221" t="e">
        <f t="shared" si="13"/>
        <v>#REF!</v>
      </c>
      <c r="AO22" s="222"/>
      <c r="AP22" s="221" t="e">
        <f t="shared" si="14"/>
        <v>#REF!</v>
      </c>
      <c r="AQ22" s="222"/>
      <c r="AR22" s="221" t="e">
        <f t="shared" si="15"/>
        <v>#REF!</v>
      </c>
      <c r="AS22" s="222"/>
      <c r="AT22" s="221" t="e">
        <f>#REF!-0.01</f>
        <v>#REF!</v>
      </c>
      <c r="AU22" s="222">
        <f t="shared" si="16"/>
        <v>1</v>
      </c>
      <c r="AV22" s="1" t="e">
        <f t="shared" si="19"/>
        <v>#REF!</v>
      </c>
    </row>
    <row r="23" spans="1:48" ht="76.5" customHeight="1" x14ac:dyDescent="0.2">
      <c r="A23" s="233" t="s">
        <v>127</v>
      </c>
      <c r="B23" s="561" t="s">
        <v>223</v>
      </c>
      <c r="C23" s="562"/>
      <c r="D23" s="562"/>
      <c r="E23" s="562"/>
      <c r="F23" s="562"/>
      <c r="G23" s="562"/>
      <c r="H23" s="562"/>
      <c r="I23" s="562"/>
      <c r="J23" s="221" t="e">
        <f t="shared" si="0"/>
        <v>#REF!</v>
      </c>
      <c r="K23" s="222"/>
      <c r="L23" s="221" t="e">
        <f t="shared" si="20"/>
        <v>#REF!</v>
      </c>
      <c r="M23" s="222"/>
      <c r="N23" s="221" t="e">
        <f t="shared" si="20"/>
        <v>#REF!</v>
      </c>
      <c r="O23" s="222"/>
      <c r="P23" s="221" t="e">
        <f t="shared" si="3"/>
        <v>#REF!</v>
      </c>
      <c r="Q23" s="222"/>
      <c r="R23" s="221" t="e">
        <f t="shared" si="4"/>
        <v>#REF!</v>
      </c>
      <c r="S23" s="222"/>
      <c r="T23" s="221" t="e">
        <f t="shared" ref="T23:T51" si="21">ROUND(U23*$AT23,2)</f>
        <v>#REF!</v>
      </c>
      <c r="U23" s="222">
        <v>0.5</v>
      </c>
      <c r="V23" s="221" t="e">
        <f>ROUND(W23*$AT23,2)-0.01</f>
        <v>#REF!</v>
      </c>
      <c r="W23" s="222">
        <v>0.5</v>
      </c>
      <c r="X23" s="221" t="e">
        <f t="shared" si="6"/>
        <v>#REF!</v>
      </c>
      <c r="Y23" s="222"/>
      <c r="Z23" s="221" t="e">
        <f t="shared" si="7"/>
        <v>#REF!</v>
      </c>
      <c r="AA23" s="222"/>
      <c r="AB23" s="221" t="e">
        <f t="shared" si="18"/>
        <v>#REF!</v>
      </c>
      <c r="AC23" s="222"/>
      <c r="AD23" s="221" t="e">
        <f t="shared" si="8"/>
        <v>#REF!</v>
      </c>
      <c r="AE23" s="222"/>
      <c r="AF23" s="221" t="e">
        <f t="shared" si="9"/>
        <v>#REF!</v>
      </c>
      <c r="AG23" s="222"/>
      <c r="AH23" s="221" t="e">
        <f t="shared" si="10"/>
        <v>#REF!</v>
      </c>
      <c r="AI23" s="222"/>
      <c r="AJ23" s="221" t="e">
        <f t="shared" si="11"/>
        <v>#REF!</v>
      </c>
      <c r="AK23" s="222"/>
      <c r="AL23" s="221" t="e">
        <f t="shared" si="12"/>
        <v>#REF!</v>
      </c>
      <c r="AM23" s="222"/>
      <c r="AN23" s="221" t="e">
        <f t="shared" si="13"/>
        <v>#REF!</v>
      </c>
      <c r="AO23" s="222"/>
      <c r="AP23" s="221" t="e">
        <f t="shared" si="14"/>
        <v>#REF!</v>
      </c>
      <c r="AQ23" s="222"/>
      <c r="AR23" s="221" t="e">
        <f t="shared" si="15"/>
        <v>#REF!</v>
      </c>
      <c r="AS23" s="222"/>
      <c r="AT23" s="221" t="e">
        <f>#REF!-0.01</f>
        <v>#REF!</v>
      </c>
      <c r="AU23" s="222">
        <f t="shared" si="16"/>
        <v>1</v>
      </c>
      <c r="AV23" s="1" t="e">
        <f t="shared" si="19"/>
        <v>#REF!</v>
      </c>
    </row>
    <row r="24" spans="1:48" ht="76.5" customHeight="1" x14ac:dyDescent="0.2">
      <c r="A24" s="233" t="s">
        <v>128</v>
      </c>
      <c r="B24" s="561" t="s">
        <v>223</v>
      </c>
      <c r="C24" s="562"/>
      <c r="D24" s="562"/>
      <c r="E24" s="562"/>
      <c r="F24" s="562"/>
      <c r="G24" s="562"/>
      <c r="H24" s="562"/>
      <c r="I24" s="562"/>
      <c r="J24" s="221" t="e">
        <f t="shared" si="0"/>
        <v>#REF!</v>
      </c>
      <c r="K24" s="222"/>
      <c r="L24" s="221" t="e">
        <f t="shared" si="20"/>
        <v>#REF!</v>
      </c>
      <c r="M24" s="222"/>
      <c r="N24" s="221" t="e">
        <f t="shared" si="20"/>
        <v>#REF!</v>
      </c>
      <c r="O24" s="222"/>
      <c r="P24" s="221" t="e">
        <f t="shared" si="3"/>
        <v>#REF!</v>
      </c>
      <c r="Q24" s="222"/>
      <c r="R24" s="221" t="e">
        <f t="shared" si="4"/>
        <v>#REF!</v>
      </c>
      <c r="S24" s="222"/>
      <c r="T24" s="221" t="e">
        <f t="shared" si="21"/>
        <v>#REF!</v>
      </c>
      <c r="U24" s="222"/>
      <c r="V24" s="221" t="e">
        <f t="shared" ref="V24:V51" si="22">ROUND(W24*$AT24,2)</f>
        <v>#REF!</v>
      </c>
      <c r="W24" s="222">
        <v>1</v>
      </c>
      <c r="X24" s="221" t="e">
        <f t="shared" si="6"/>
        <v>#REF!</v>
      </c>
      <c r="Y24" s="222"/>
      <c r="Z24" s="221" t="e">
        <f t="shared" si="7"/>
        <v>#REF!</v>
      </c>
      <c r="AA24" s="222"/>
      <c r="AB24" s="221" t="e">
        <f t="shared" si="18"/>
        <v>#REF!</v>
      </c>
      <c r="AC24" s="222"/>
      <c r="AD24" s="221" t="e">
        <f t="shared" si="8"/>
        <v>#REF!</v>
      </c>
      <c r="AE24" s="222"/>
      <c r="AF24" s="221" t="e">
        <f t="shared" si="9"/>
        <v>#REF!</v>
      </c>
      <c r="AG24" s="222"/>
      <c r="AH24" s="221" t="e">
        <f t="shared" si="10"/>
        <v>#REF!</v>
      </c>
      <c r="AI24" s="222"/>
      <c r="AJ24" s="221" t="e">
        <f t="shared" si="11"/>
        <v>#REF!</v>
      </c>
      <c r="AK24" s="222"/>
      <c r="AL24" s="221" t="e">
        <f t="shared" si="12"/>
        <v>#REF!</v>
      </c>
      <c r="AM24" s="222"/>
      <c r="AN24" s="221" t="e">
        <f t="shared" si="13"/>
        <v>#REF!</v>
      </c>
      <c r="AO24" s="222"/>
      <c r="AP24" s="221" t="e">
        <f t="shared" si="14"/>
        <v>#REF!</v>
      </c>
      <c r="AQ24" s="222"/>
      <c r="AR24" s="221" t="e">
        <f t="shared" si="15"/>
        <v>#REF!</v>
      </c>
      <c r="AS24" s="222"/>
      <c r="AT24" s="221" t="e">
        <f>#REF!</f>
        <v>#REF!</v>
      </c>
      <c r="AU24" s="222">
        <f t="shared" si="16"/>
        <v>1</v>
      </c>
      <c r="AV24" s="1" t="e">
        <f t="shared" si="19"/>
        <v>#REF!</v>
      </c>
    </row>
    <row r="25" spans="1:48" ht="76.5" customHeight="1" x14ac:dyDescent="0.2">
      <c r="A25" s="234" t="s">
        <v>131</v>
      </c>
      <c r="B25" s="561" t="s">
        <v>223</v>
      </c>
      <c r="C25" s="562"/>
      <c r="D25" s="562"/>
      <c r="E25" s="562"/>
      <c r="F25" s="562"/>
      <c r="G25" s="562"/>
      <c r="H25" s="562"/>
      <c r="I25" s="562"/>
      <c r="J25" s="221" t="e">
        <f t="shared" si="0"/>
        <v>#REF!</v>
      </c>
      <c r="K25" s="222"/>
      <c r="L25" s="221" t="e">
        <f t="shared" si="20"/>
        <v>#REF!</v>
      </c>
      <c r="M25" s="222"/>
      <c r="N25" s="221" t="e">
        <f t="shared" si="20"/>
        <v>#REF!</v>
      </c>
      <c r="O25" s="222"/>
      <c r="P25" s="221" t="e">
        <f t="shared" si="3"/>
        <v>#REF!</v>
      </c>
      <c r="Q25" s="222"/>
      <c r="R25" s="221" t="e">
        <f t="shared" si="4"/>
        <v>#REF!</v>
      </c>
      <c r="S25" s="222">
        <v>1</v>
      </c>
      <c r="T25" s="221" t="e">
        <f t="shared" si="21"/>
        <v>#REF!</v>
      </c>
      <c r="U25" s="222"/>
      <c r="V25" s="221" t="e">
        <f t="shared" si="22"/>
        <v>#REF!</v>
      </c>
      <c r="W25" s="222"/>
      <c r="X25" s="221" t="e">
        <f t="shared" si="6"/>
        <v>#REF!</v>
      </c>
      <c r="Y25" s="222"/>
      <c r="Z25" s="221" t="e">
        <f t="shared" si="7"/>
        <v>#REF!</v>
      </c>
      <c r="AA25" s="222"/>
      <c r="AB25" s="221" t="e">
        <f t="shared" si="18"/>
        <v>#REF!</v>
      </c>
      <c r="AC25" s="222"/>
      <c r="AD25" s="221" t="e">
        <f t="shared" si="8"/>
        <v>#REF!</v>
      </c>
      <c r="AE25" s="222"/>
      <c r="AF25" s="221" t="e">
        <f t="shared" si="9"/>
        <v>#REF!</v>
      </c>
      <c r="AG25" s="222"/>
      <c r="AH25" s="221" t="e">
        <f t="shared" si="10"/>
        <v>#REF!</v>
      </c>
      <c r="AI25" s="222"/>
      <c r="AJ25" s="221" t="e">
        <f t="shared" si="11"/>
        <v>#REF!</v>
      </c>
      <c r="AK25" s="222"/>
      <c r="AL25" s="221" t="e">
        <f t="shared" si="12"/>
        <v>#REF!</v>
      </c>
      <c r="AM25" s="222"/>
      <c r="AN25" s="221" t="e">
        <f t="shared" si="13"/>
        <v>#REF!</v>
      </c>
      <c r="AO25" s="222"/>
      <c r="AP25" s="221" t="e">
        <f t="shared" si="14"/>
        <v>#REF!</v>
      </c>
      <c r="AQ25" s="222"/>
      <c r="AR25" s="221" t="e">
        <f t="shared" si="15"/>
        <v>#REF!</v>
      </c>
      <c r="AS25" s="222"/>
      <c r="AT25" s="221" t="e">
        <f>#REF!</f>
        <v>#REF!</v>
      </c>
      <c r="AU25" s="222">
        <f t="shared" si="16"/>
        <v>1</v>
      </c>
      <c r="AV25" s="1" t="e">
        <f t="shared" si="19"/>
        <v>#REF!</v>
      </c>
    </row>
    <row r="26" spans="1:48" ht="76.5" customHeight="1" x14ac:dyDescent="0.2">
      <c r="A26" s="233" t="s">
        <v>132</v>
      </c>
      <c r="B26" s="561" t="s">
        <v>223</v>
      </c>
      <c r="C26" s="562"/>
      <c r="D26" s="562"/>
      <c r="E26" s="562"/>
      <c r="F26" s="562"/>
      <c r="G26" s="562"/>
      <c r="H26" s="562"/>
      <c r="I26" s="562"/>
      <c r="J26" s="221" t="e">
        <f t="shared" si="0"/>
        <v>#REF!</v>
      </c>
      <c r="K26" s="222"/>
      <c r="L26" s="221" t="e">
        <f t="shared" ref="L26:L51" si="23">ROUND(M26*$AT26,2)</f>
        <v>#REF!</v>
      </c>
      <c r="M26" s="222"/>
      <c r="N26" s="221" t="e">
        <f t="shared" ref="N26:N51" si="24">ROUND(O26*$AT26,2)</f>
        <v>#REF!</v>
      </c>
      <c r="O26" s="222"/>
      <c r="P26" s="221" t="e">
        <f t="shared" si="3"/>
        <v>#REF!</v>
      </c>
      <c r="Q26" s="222"/>
      <c r="R26" s="221" t="e">
        <f t="shared" si="4"/>
        <v>#REF!</v>
      </c>
      <c r="S26" s="222">
        <v>0.5</v>
      </c>
      <c r="T26" s="221" t="e">
        <f t="shared" si="21"/>
        <v>#REF!</v>
      </c>
      <c r="U26" s="222">
        <v>0.5</v>
      </c>
      <c r="V26" s="221" t="e">
        <f t="shared" si="22"/>
        <v>#REF!</v>
      </c>
      <c r="W26" s="222"/>
      <c r="X26" s="221" t="e">
        <f t="shared" si="6"/>
        <v>#REF!</v>
      </c>
      <c r="Y26" s="222"/>
      <c r="Z26" s="221" t="e">
        <f t="shared" si="7"/>
        <v>#REF!</v>
      </c>
      <c r="AA26" s="222"/>
      <c r="AB26" s="221" t="e">
        <f t="shared" si="18"/>
        <v>#REF!</v>
      </c>
      <c r="AC26" s="222"/>
      <c r="AD26" s="221" t="e">
        <f t="shared" si="8"/>
        <v>#REF!</v>
      </c>
      <c r="AE26" s="222"/>
      <c r="AF26" s="221" t="e">
        <f t="shared" si="9"/>
        <v>#REF!</v>
      </c>
      <c r="AG26" s="222"/>
      <c r="AH26" s="221" t="e">
        <f t="shared" si="10"/>
        <v>#REF!</v>
      </c>
      <c r="AI26" s="222"/>
      <c r="AJ26" s="221" t="e">
        <f t="shared" si="11"/>
        <v>#REF!</v>
      </c>
      <c r="AK26" s="222"/>
      <c r="AL26" s="221" t="e">
        <f t="shared" si="12"/>
        <v>#REF!</v>
      </c>
      <c r="AM26" s="222"/>
      <c r="AN26" s="221" t="e">
        <f t="shared" si="13"/>
        <v>#REF!</v>
      </c>
      <c r="AO26" s="222"/>
      <c r="AP26" s="221" t="e">
        <f t="shared" si="14"/>
        <v>#REF!</v>
      </c>
      <c r="AQ26" s="222"/>
      <c r="AR26" s="221" t="e">
        <f t="shared" si="15"/>
        <v>#REF!</v>
      </c>
      <c r="AS26" s="222"/>
      <c r="AT26" s="221" t="e">
        <f>#REF!</f>
        <v>#REF!</v>
      </c>
      <c r="AU26" s="222">
        <f t="shared" si="16"/>
        <v>1</v>
      </c>
      <c r="AV26" s="1" t="e">
        <f t="shared" si="19"/>
        <v>#REF!</v>
      </c>
    </row>
    <row r="27" spans="1:48" ht="76.5" customHeight="1" x14ac:dyDescent="0.2">
      <c r="A27" s="233" t="s">
        <v>133</v>
      </c>
      <c r="B27" s="561" t="s">
        <v>223</v>
      </c>
      <c r="C27" s="562"/>
      <c r="D27" s="562"/>
      <c r="E27" s="562"/>
      <c r="F27" s="562"/>
      <c r="G27" s="562"/>
      <c r="H27" s="562"/>
      <c r="I27" s="562"/>
      <c r="J27" s="221" t="e">
        <f t="shared" si="0"/>
        <v>#REF!</v>
      </c>
      <c r="K27" s="222"/>
      <c r="L27" s="221" t="e">
        <f t="shared" si="23"/>
        <v>#REF!</v>
      </c>
      <c r="M27" s="222"/>
      <c r="N27" s="221" t="e">
        <f t="shared" si="24"/>
        <v>#REF!</v>
      </c>
      <c r="O27" s="222"/>
      <c r="P27" s="221" t="e">
        <f t="shared" si="3"/>
        <v>#REF!</v>
      </c>
      <c r="Q27" s="222"/>
      <c r="R27" s="221" t="e">
        <f t="shared" si="4"/>
        <v>#REF!</v>
      </c>
      <c r="S27" s="222"/>
      <c r="T27" s="221" t="e">
        <f t="shared" si="21"/>
        <v>#REF!</v>
      </c>
      <c r="U27" s="222">
        <v>0.33</v>
      </c>
      <c r="V27" s="221" t="e">
        <f t="shared" si="22"/>
        <v>#REF!</v>
      </c>
      <c r="W27" s="222">
        <v>0.33</v>
      </c>
      <c r="X27" s="221" t="e">
        <f t="shared" si="6"/>
        <v>#REF!</v>
      </c>
      <c r="Y27" s="222">
        <v>0.34</v>
      </c>
      <c r="Z27" s="221" t="e">
        <f t="shared" si="7"/>
        <v>#REF!</v>
      </c>
      <c r="AA27" s="222"/>
      <c r="AB27" s="221" t="e">
        <f t="shared" si="18"/>
        <v>#REF!</v>
      </c>
      <c r="AC27" s="222"/>
      <c r="AD27" s="221" t="e">
        <f t="shared" si="8"/>
        <v>#REF!</v>
      </c>
      <c r="AE27" s="222"/>
      <c r="AF27" s="221" t="e">
        <f t="shared" si="9"/>
        <v>#REF!</v>
      </c>
      <c r="AG27" s="222"/>
      <c r="AH27" s="221" t="e">
        <f t="shared" si="10"/>
        <v>#REF!</v>
      </c>
      <c r="AI27" s="222"/>
      <c r="AJ27" s="221" t="e">
        <f t="shared" si="11"/>
        <v>#REF!</v>
      </c>
      <c r="AK27" s="222"/>
      <c r="AL27" s="221" t="e">
        <f t="shared" si="12"/>
        <v>#REF!</v>
      </c>
      <c r="AM27" s="222"/>
      <c r="AN27" s="221" t="e">
        <f t="shared" si="13"/>
        <v>#REF!</v>
      </c>
      <c r="AO27" s="222"/>
      <c r="AP27" s="221" t="e">
        <f t="shared" si="14"/>
        <v>#REF!</v>
      </c>
      <c r="AQ27" s="222"/>
      <c r="AR27" s="221" t="e">
        <f t="shared" si="15"/>
        <v>#REF!</v>
      </c>
      <c r="AS27" s="222"/>
      <c r="AT27" s="221" t="e">
        <f>#REF!</f>
        <v>#REF!</v>
      </c>
      <c r="AU27" s="222">
        <f t="shared" si="16"/>
        <v>1</v>
      </c>
      <c r="AV27" s="1" t="e">
        <f t="shared" si="19"/>
        <v>#REF!</v>
      </c>
    </row>
    <row r="28" spans="1:48" ht="76.5" customHeight="1" x14ac:dyDescent="0.2">
      <c r="A28" s="233" t="s">
        <v>134</v>
      </c>
      <c r="B28" s="561" t="s">
        <v>223</v>
      </c>
      <c r="C28" s="562"/>
      <c r="D28" s="562"/>
      <c r="E28" s="562"/>
      <c r="F28" s="562"/>
      <c r="G28" s="562"/>
      <c r="H28" s="562"/>
      <c r="I28" s="562"/>
      <c r="J28" s="221" t="e">
        <f t="shared" si="0"/>
        <v>#REF!</v>
      </c>
      <c r="K28" s="222"/>
      <c r="L28" s="221" t="e">
        <f t="shared" si="23"/>
        <v>#REF!</v>
      </c>
      <c r="M28" s="222"/>
      <c r="N28" s="221" t="e">
        <f t="shared" si="24"/>
        <v>#REF!</v>
      </c>
      <c r="O28" s="222"/>
      <c r="P28" s="221" t="e">
        <f t="shared" si="3"/>
        <v>#REF!</v>
      </c>
      <c r="Q28" s="222"/>
      <c r="R28" s="221" t="e">
        <f t="shared" si="4"/>
        <v>#REF!</v>
      </c>
      <c r="S28" s="222"/>
      <c r="T28" s="221" t="e">
        <f t="shared" si="21"/>
        <v>#REF!</v>
      </c>
      <c r="U28" s="222"/>
      <c r="V28" s="221" t="e">
        <f t="shared" si="22"/>
        <v>#REF!</v>
      </c>
      <c r="W28" s="222"/>
      <c r="X28" s="221" t="e">
        <f t="shared" si="6"/>
        <v>#REF!</v>
      </c>
      <c r="Y28" s="222">
        <v>0.5</v>
      </c>
      <c r="Z28" s="221" t="e">
        <f t="shared" si="7"/>
        <v>#REF!</v>
      </c>
      <c r="AA28" s="222">
        <v>0.5</v>
      </c>
      <c r="AB28" s="221" t="e">
        <f t="shared" si="18"/>
        <v>#REF!</v>
      </c>
      <c r="AC28" s="222"/>
      <c r="AD28" s="221" t="e">
        <f t="shared" si="8"/>
        <v>#REF!</v>
      </c>
      <c r="AE28" s="222"/>
      <c r="AF28" s="221" t="e">
        <f t="shared" si="9"/>
        <v>#REF!</v>
      </c>
      <c r="AG28" s="222"/>
      <c r="AH28" s="221" t="e">
        <f t="shared" si="10"/>
        <v>#REF!</v>
      </c>
      <c r="AI28" s="222"/>
      <c r="AJ28" s="221" t="e">
        <f t="shared" si="11"/>
        <v>#REF!</v>
      </c>
      <c r="AK28" s="222"/>
      <c r="AL28" s="221" t="e">
        <f t="shared" si="12"/>
        <v>#REF!</v>
      </c>
      <c r="AM28" s="222"/>
      <c r="AN28" s="221" t="e">
        <f t="shared" si="13"/>
        <v>#REF!</v>
      </c>
      <c r="AO28" s="222"/>
      <c r="AP28" s="221" t="e">
        <f t="shared" si="14"/>
        <v>#REF!</v>
      </c>
      <c r="AQ28" s="222"/>
      <c r="AR28" s="221" t="e">
        <f t="shared" si="15"/>
        <v>#REF!</v>
      </c>
      <c r="AS28" s="222"/>
      <c r="AT28" s="221" t="e">
        <f>#REF!</f>
        <v>#REF!</v>
      </c>
      <c r="AU28" s="222">
        <f t="shared" si="16"/>
        <v>1</v>
      </c>
      <c r="AV28" s="1" t="e">
        <f t="shared" si="19"/>
        <v>#REF!</v>
      </c>
    </row>
    <row r="29" spans="1:48" ht="76.5" customHeight="1" x14ac:dyDescent="0.2">
      <c r="A29" s="234" t="s">
        <v>159</v>
      </c>
      <c r="B29" s="561" t="s">
        <v>223</v>
      </c>
      <c r="C29" s="562"/>
      <c r="D29" s="562"/>
      <c r="E29" s="562"/>
      <c r="F29" s="562"/>
      <c r="G29" s="562"/>
      <c r="H29" s="562"/>
      <c r="I29" s="562"/>
      <c r="J29" s="221" t="e">
        <f t="shared" si="0"/>
        <v>#REF!</v>
      </c>
      <c r="K29" s="222"/>
      <c r="L29" s="221" t="e">
        <f t="shared" si="23"/>
        <v>#REF!</v>
      </c>
      <c r="M29" s="222"/>
      <c r="N29" s="221" t="e">
        <f t="shared" si="24"/>
        <v>#REF!</v>
      </c>
      <c r="O29" s="222"/>
      <c r="P29" s="221" t="e">
        <f t="shared" si="3"/>
        <v>#REF!</v>
      </c>
      <c r="Q29" s="222"/>
      <c r="R29" s="221" t="e">
        <f t="shared" si="4"/>
        <v>#REF!</v>
      </c>
      <c r="S29" s="222"/>
      <c r="T29" s="221" t="e">
        <f t="shared" si="21"/>
        <v>#REF!</v>
      </c>
      <c r="U29" s="222"/>
      <c r="V29" s="221" t="e">
        <f t="shared" si="22"/>
        <v>#REF!</v>
      </c>
      <c r="W29" s="222">
        <v>1</v>
      </c>
      <c r="X29" s="221" t="e">
        <f t="shared" si="6"/>
        <v>#REF!</v>
      </c>
      <c r="Y29" s="222"/>
      <c r="Z29" s="221" t="e">
        <f t="shared" si="7"/>
        <v>#REF!</v>
      </c>
      <c r="AA29" s="222"/>
      <c r="AB29" s="221" t="e">
        <f t="shared" si="18"/>
        <v>#REF!</v>
      </c>
      <c r="AC29" s="222"/>
      <c r="AD29" s="221" t="e">
        <f t="shared" si="8"/>
        <v>#REF!</v>
      </c>
      <c r="AE29" s="222"/>
      <c r="AF29" s="221" t="e">
        <f t="shared" si="9"/>
        <v>#REF!</v>
      </c>
      <c r="AG29" s="222"/>
      <c r="AH29" s="221" t="e">
        <f t="shared" si="10"/>
        <v>#REF!</v>
      </c>
      <c r="AI29" s="222"/>
      <c r="AJ29" s="221" t="e">
        <f t="shared" si="11"/>
        <v>#REF!</v>
      </c>
      <c r="AK29" s="222"/>
      <c r="AL29" s="221" t="e">
        <f t="shared" si="12"/>
        <v>#REF!</v>
      </c>
      <c r="AM29" s="222"/>
      <c r="AN29" s="221" t="e">
        <f t="shared" si="13"/>
        <v>#REF!</v>
      </c>
      <c r="AO29" s="222"/>
      <c r="AP29" s="221" t="e">
        <f t="shared" si="14"/>
        <v>#REF!</v>
      </c>
      <c r="AQ29" s="222"/>
      <c r="AR29" s="221" t="e">
        <f t="shared" si="15"/>
        <v>#REF!</v>
      </c>
      <c r="AS29" s="222"/>
      <c r="AT29" s="221" t="e">
        <f>#REF!</f>
        <v>#REF!</v>
      </c>
      <c r="AU29" s="222">
        <f t="shared" si="16"/>
        <v>1</v>
      </c>
      <c r="AV29" s="1" t="e">
        <f t="shared" si="19"/>
        <v>#REF!</v>
      </c>
    </row>
    <row r="30" spans="1:48" ht="76.5" customHeight="1" x14ac:dyDescent="0.2">
      <c r="A30" s="233" t="s">
        <v>160</v>
      </c>
      <c r="B30" s="561" t="s">
        <v>223</v>
      </c>
      <c r="C30" s="562"/>
      <c r="D30" s="562"/>
      <c r="E30" s="562"/>
      <c r="F30" s="562"/>
      <c r="G30" s="562"/>
      <c r="H30" s="562"/>
      <c r="I30" s="562"/>
      <c r="J30" s="221" t="e">
        <f t="shared" si="0"/>
        <v>#REF!</v>
      </c>
      <c r="K30" s="222"/>
      <c r="L30" s="221" t="e">
        <f t="shared" si="23"/>
        <v>#REF!</v>
      </c>
      <c r="M30" s="222"/>
      <c r="N30" s="221" t="e">
        <f t="shared" si="24"/>
        <v>#REF!</v>
      </c>
      <c r="O30" s="222"/>
      <c r="P30" s="221" t="e">
        <f t="shared" si="3"/>
        <v>#REF!</v>
      </c>
      <c r="Q30" s="222"/>
      <c r="R30" s="221" t="e">
        <f t="shared" si="4"/>
        <v>#REF!</v>
      </c>
      <c r="S30" s="222"/>
      <c r="T30" s="221" t="e">
        <f t="shared" si="21"/>
        <v>#REF!</v>
      </c>
      <c r="U30" s="222"/>
      <c r="V30" s="221" t="e">
        <f t="shared" si="22"/>
        <v>#REF!</v>
      </c>
      <c r="W30" s="222">
        <v>0.5</v>
      </c>
      <c r="X30" s="221" t="e">
        <f>ROUND(Y30*$AT30,2)-0.01</f>
        <v>#REF!</v>
      </c>
      <c r="Y30" s="222">
        <v>0.5</v>
      </c>
      <c r="Z30" s="221" t="e">
        <f t="shared" si="7"/>
        <v>#REF!</v>
      </c>
      <c r="AA30" s="222"/>
      <c r="AB30" s="221" t="e">
        <f t="shared" si="18"/>
        <v>#REF!</v>
      </c>
      <c r="AC30" s="222"/>
      <c r="AD30" s="221" t="e">
        <f t="shared" si="8"/>
        <v>#REF!</v>
      </c>
      <c r="AE30" s="222"/>
      <c r="AF30" s="221" t="e">
        <f t="shared" si="9"/>
        <v>#REF!</v>
      </c>
      <c r="AG30" s="222"/>
      <c r="AH30" s="221" t="e">
        <f t="shared" si="10"/>
        <v>#REF!</v>
      </c>
      <c r="AI30" s="222"/>
      <c r="AJ30" s="221" t="e">
        <f t="shared" si="11"/>
        <v>#REF!</v>
      </c>
      <c r="AK30" s="222"/>
      <c r="AL30" s="221" t="e">
        <f t="shared" si="12"/>
        <v>#REF!</v>
      </c>
      <c r="AM30" s="222"/>
      <c r="AN30" s="221" t="e">
        <f t="shared" si="13"/>
        <v>#REF!</v>
      </c>
      <c r="AO30" s="222"/>
      <c r="AP30" s="221" t="e">
        <f t="shared" si="14"/>
        <v>#REF!</v>
      </c>
      <c r="AQ30" s="222"/>
      <c r="AR30" s="221" t="e">
        <f t="shared" si="15"/>
        <v>#REF!</v>
      </c>
      <c r="AS30" s="222"/>
      <c r="AT30" s="221" t="e">
        <f>#REF!</f>
        <v>#REF!</v>
      </c>
      <c r="AU30" s="222">
        <f t="shared" si="16"/>
        <v>1</v>
      </c>
      <c r="AV30" s="1" t="e">
        <f t="shared" si="19"/>
        <v>#REF!</v>
      </c>
    </row>
    <row r="31" spans="1:48" ht="76.5" customHeight="1" x14ac:dyDescent="0.2">
      <c r="A31" s="233" t="s">
        <v>161</v>
      </c>
      <c r="B31" s="561" t="s">
        <v>223</v>
      </c>
      <c r="C31" s="562"/>
      <c r="D31" s="562"/>
      <c r="E31" s="562"/>
      <c r="F31" s="562"/>
      <c r="G31" s="562"/>
      <c r="H31" s="562"/>
      <c r="I31" s="562"/>
      <c r="J31" s="221" t="e">
        <f t="shared" si="0"/>
        <v>#REF!</v>
      </c>
      <c r="K31" s="222"/>
      <c r="L31" s="221" t="e">
        <f t="shared" si="23"/>
        <v>#REF!</v>
      </c>
      <c r="M31" s="222"/>
      <c r="N31" s="221" t="e">
        <f t="shared" si="24"/>
        <v>#REF!</v>
      </c>
      <c r="O31" s="222"/>
      <c r="P31" s="221" t="e">
        <f t="shared" si="3"/>
        <v>#REF!</v>
      </c>
      <c r="Q31" s="222"/>
      <c r="R31" s="221" t="e">
        <f t="shared" si="4"/>
        <v>#REF!</v>
      </c>
      <c r="S31" s="222"/>
      <c r="T31" s="221" t="e">
        <f t="shared" si="21"/>
        <v>#REF!</v>
      </c>
      <c r="U31" s="222"/>
      <c r="V31" s="221" t="e">
        <f t="shared" si="22"/>
        <v>#REF!</v>
      </c>
      <c r="W31" s="222"/>
      <c r="X31" s="221" t="e">
        <f t="shared" ref="X31:X51" si="25">ROUND(Y31*$AT31,2)</f>
        <v>#REF!</v>
      </c>
      <c r="Y31" s="222">
        <v>0.33</v>
      </c>
      <c r="Z31" s="221" t="e">
        <f t="shared" si="7"/>
        <v>#REF!</v>
      </c>
      <c r="AA31" s="222">
        <v>0.33</v>
      </c>
      <c r="AB31" s="221" t="e">
        <f>ROUND(AC31*$AT31,2)+0.01</f>
        <v>#REF!</v>
      </c>
      <c r="AC31" s="222">
        <v>0.34</v>
      </c>
      <c r="AD31" s="221" t="e">
        <f t="shared" si="8"/>
        <v>#REF!</v>
      </c>
      <c r="AE31" s="222"/>
      <c r="AF31" s="221" t="e">
        <f t="shared" si="9"/>
        <v>#REF!</v>
      </c>
      <c r="AG31" s="222"/>
      <c r="AH31" s="221" t="e">
        <f t="shared" si="10"/>
        <v>#REF!</v>
      </c>
      <c r="AI31" s="222"/>
      <c r="AJ31" s="221" t="e">
        <f t="shared" si="11"/>
        <v>#REF!</v>
      </c>
      <c r="AK31" s="222"/>
      <c r="AL31" s="221" t="e">
        <f t="shared" si="12"/>
        <v>#REF!</v>
      </c>
      <c r="AM31" s="222"/>
      <c r="AN31" s="221" t="e">
        <f t="shared" si="13"/>
        <v>#REF!</v>
      </c>
      <c r="AO31" s="222"/>
      <c r="AP31" s="221" t="e">
        <f t="shared" si="14"/>
        <v>#REF!</v>
      </c>
      <c r="AQ31" s="222"/>
      <c r="AR31" s="221" t="e">
        <f t="shared" si="15"/>
        <v>#REF!</v>
      </c>
      <c r="AS31" s="222"/>
      <c r="AT31" s="221" t="e">
        <f>#REF!</f>
        <v>#REF!</v>
      </c>
      <c r="AU31" s="222">
        <f t="shared" si="16"/>
        <v>1</v>
      </c>
      <c r="AV31" s="1" t="e">
        <f t="shared" si="19"/>
        <v>#REF!</v>
      </c>
    </row>
    <row r="32" spans="1:48" ht="76.5" customHeight="1" x14ac:dyDescent="0.2">
      <c r="A32" s="233" t="s">
        <v>162</v>
      </c>
      <c r="B32" s="561" t="s">
        <v>223</v>
      </c>
      <c r="C32" s="562"/>
      <c r="D32" s="562"/>
      <c r="E32" s="562"/>
      <c r="F32" s="562"/>
      <c r="G32" s="562"/>
      <c r="H32" s="562"/>
      <c r="I32" s="562"/>
      <c r="J32" s="221" t="e">
        <f t="shared" si="0"/>
        <v>#REF!</v>
      </c>
      <c r="K32" s="222"/>
      <c r="L32" s="221" t="e">
        <f t="shared" si="23"/>
        <v>#REF!</v>
      </c>
      <c r="M32" s="222"/>
      <c r="N32" s="221" t="e">
        <f t="shared" si="24"/>
        <v>#REF!</v>
      </c>
      <c r="O32" s="222"/>
      <c r="P32" s="221" t="e">
        <f t="shared" si="3"/>
        <v>#REF!</v>
      </c>
      <c r="Q32" s="222"/>
      <c r="R32" s="221" t="e">
        <f t="shared" si="4"/>
        <v>#REF!</v>
      </c>
      <c r="S32" s="222"/>
      <c r="T32" s="221" t="e">
        <f t="shared" si="21"/>
        <v>#REF!</v>
      </c>
      <c r="U32" s="222"/>
      <c r="V32" s="221" t="e">
        <f t="shared" si="22"/>
        <v>#REF!</v>
      </c>
      <c r="W32" s="222"/>
      <c r="X32" s="221" t="e">
        <f t="shared" si="25"/>
        <v>#REF!</v>
      </c>
      <c r="Y32" s="222"/>
      <c r="Z32" s="221" t="e">
        <f t="shared" si="7"/>
        <v>#REF!</v>
      </c>
      <c r="AA32" s="222"/>
      <c r="AB32" s="221" t="e">
        <f t="shared" ref="AB32:AB51" si="26">ROUND(AC32*$AT32,2)</f>
        <v>#REF!</v>
      </c>
      <c r="AC32" s="222">
        <v>0.5</v>
      </c>
      <c r="AD32" s="221" t="e">
        <f t="shared" si="8"/>
        <v>#REF!</v>
      </c>
      <c r="AE32" s="222">
        <v>0.5</v>
      </c>
      <c r="AF32" s="221" t="e">
        <f t="shared" si="9"/>
        <v>#REF!</v>
      </c>
      <c r="AG32" s="222"/>
      <c r="AH32" s="221" t="e">
        <f t="shared" si="10"/>
        <v>#REF!</v>
      </c>
      <c r="AI32" s="222"/>
      <c r="AJ32" s="221" t="e">
        <f t="shared" si="11"/>
        <v>#REF!</v>
      </c>
      <c r="AK32" s="222"/>
      <c r="AL32" s="221" t="e">
        <f t="shared" si="12"/>
        <v>#REF!</v>
      </c>
      <c r="AM32" s="222"/>
      <c r="AN32" s="221" t="e">
        <f t="shared" si="13"/>
        <v>#REF!</v>
      </c>
      <c r="AO32" s="222"/>
      <c r="AP32" s="221" t="e">
        <f t="shared" si="14"/>
        <v>#REF!</v>
      </c>
      <c r="AQ32" s="222"/>
      <c r="AR32" s="221" t="e">
        <f t="shared" si="15"/>
        <v>#REF!</v>
      </c>
      <c r="AS32" s="222"/>
      <c r="AT32" s="221" t="e">
        <f>#REF!</f>
        <v>#REF!</v>
      </c>
      <c r="AU32" s="222">
        <f t="shared" si="16"/>
        <v>1</v>
      </c>
      <c r="AV32" s="1" t="e">
        <f t="shared" si="19"/>
        <v>#REF!</v>
      </c>
    </row>
    <row r="33" spans="1:48" ht="76.5" customHeight="1" x14ac:dyDescent="0.2">
      <c r="A33" s="233" t="s">
        <v>163</v>
      </c>
      <c r="B33" s="561" t="s">
        <v>223</v>
      </c>
      <c r="C33" s="562"/>
      <c r="D33" s="562"/>
      <c r="E33" s="562"/>
      <c r="F33" s="562"/>
      <c r="G33" s="562"/>
      <c r="H33" s="562"/>
      <c r="I33" s="562"/>
      <c r="J33" s="221" t="e">
        <f t="shared" si="0"/>
        <v>#REF!</v>
      </c>
      <c r="K33" s="222"/>
      <c r="L33" s="221" t="e">
        <f t="shared" si="23"/>
        <v>#REF!</v>
      </c>
      <c r="M33" s="222"/>
      <c r="N33" s="221" t="e">
        <f t="shared" si="24"/>
        <v>#REF!</v>
      </c>
      <c r="O33" s="222"/>
      <c r="P33" s="221" t="e">
        <f t="shared" si="3"/>
        <v>#REF!</v>
      </c>
      <c r="Q33" s="222"/>
      <c r="R33" s="221" t="e">
        <f t="shared" si="4"/>
        <v>#REF!</v>
      </c>
      <c r="S33" s="222"/>
      <c r="T33" s="221" t="e">
        <f t="shared" si="21"/>
        <v>#REF!</v>
      </c>
      <c r="U33" s="222"/>
      <c r="V33" s="221" t="e">
        <f t="shared" si="22"/>
        <v>#REF!</v>
      </c>
      <c r="W33" s="222"/>
      <c r="X33" s="221" t="e">
        <f t="shared" si="25"/>
        <v>#REF!</v>
      </c>
      <c r="Y33" s="222"/>
      <c r="Z33" s="221" t="e">
        <f t="shared" si="7"/>
        <v>#REF!</v>
      </c>
      <c r="AA33" s="222"/>
      <c r="AB33" s="221" t="e">
        <f t="shared" si="26"/>
        <v>#REF!</v>
      </c>
      <c r="AC33" s="222"/>
      <c r="AD33" s="221" t="e">
        <f t="shared" si="8"/>
        <v>#REF!</v>
      </c>
      <c r="AE33" s="222"/>
      <c r="AF33" s="221" t="e">
        <f t="shared" si="9"/>
        <v>#REF!</v>
      </c>
      <c r="AG33" s="222">
        <v>1</v>
      </c>
      <c r="AH33" s="221" t="e">
        <f t="shared" si="10"/>
        <v>#REF!</v>
      </c>
      <c r="AI33" s="222"/>
      <c r="AJ33" s="221" t="e">
        <f t="shared" si="11"/>
        <v>#REF!</v>
      </c>
      <c r="AK33" s="222"/>
      <c r="AL33" s="221" t="e">
        <f t="shared" si="12"/>
        <v>#REF!</v>
      </c>
      <c r="AM33" s="222"/>
      <c r="AN33" s="221" t="e">
        <f t="shared" si="13"/>
        <v>#REF!</v>
      </c>
      <c r="AO33" s="222"/>
      <c r="AP33" s="221" t="e">
        <f t="shared" si="14"/>
        <v>#REF!</v>
      </c>
      <c r="AQ33" s="222"/>
      <c r="AR33" s="221" t="e">
        <f t="shared" si="15"/>
        <v>#REF!</v>
      </c>
      <c r="AS33" s="222"/>
      <c r="AT33" s="221" t="e">
        <f>#REF!-0.01</f>
        <v>#REF!</v>
      </c>
      <c r="AU33" s="222">
        <f t="shared" si="16"/>
        <v>1</v>
      </c>
      <c r="AV33" s="1" t="e">
        <f t="shared" si="19"/>
        <v>#REF!</v>
      </c>
    </row>
    <row r="34" spans="1:48" ht="76.5" customHeight="1" x14ac:dyDescent="0.2">
      <c r="A34" s="234" t="s">
        <v>164</v>
      </c>
      <c r="B34" s="561" t="s">
        <v>223</v>
      </c>
      <c r="C34" s="562"/>
      <c r="D34" s="562"/>
      <c r="E34" s="562"/>
      <c r="F34" s="562"/>
      <c r="G34" s="562"/>
      <c r="H34" s="562"/>
      <c r="I34" s="562"/>
      <c r="J34" s="221" t="e">
        <f t="shared" si="0"/>
        <v>#REF!</v>
      </c>
      <c r="K34" s="222"/>
      <c r="L34" s="221" t="e">
        <f t="shared" si="23"/>
        <v>#REF!</v>
      </c>
      <c r="M34" s="222"/>
      <c r="N34" s="221" t="e">
        <f t="shared" si="24"/>
        <v>#REF!</v>
      </c>
      <c r="O34" s="222"/>
      <c r="P34" s="221" t="e">
        <f t="shared" si="3"/>
        <v>#REF!</v>
      </c>
      <c r="Q34" s="222"/>
      <c r="R34" s="221" t="e">
        <f t="shared" si="4"/>
        <v>#REF!</v>
      </c>
      <c r="S34" s="222"/>
      <c r="T34" s="221" t="e">
        <f t="shared" si="21"/>
        <v>#REF!</v>
      </c>
      <c r="U34" s="222"/>
      <c r="V34" s="221" t="e">
        <f t="shared" si="22"/>
        <v>#REF!</v>
      </c>
      <c r="W34" s="222"/>
      <c r="X34" s="221" t="e">
        <f t="shared" si="25"/>
        <v>#REF!</v>
      </c>
      <c r="Y34" s="222"/>
      <c r="Z34" s="221" t="e">
        <f t="shared" si="7"/>
        <v>#REF!</v>
      </c>
      <c r="AA34" s="222"/>
      <c r="AB34" s="221" t="e">
        <f t="shared" si="26"/>
        <v>#REF!</v>
      </c>
      <c r="AC34" s="222">
        <v>1</v>
      </c>
      <c r="AD34" s="221" t="e">
        <f t="shared" si="8"/>
        <v>#REF!</v>
      </c>
      <c r="AE34" s="222"/>
      <c r="AF34" s="221" t="e">
        <f t="shared" si="9"/>
        <v>#REF!</v>
      </c>
      <c r="AG34" s="222"/>
      <c r="AH34" s="221" t="e">
        <f t="shared" si="10"/>
        <v>#REF!</v>
      </c>
      <c r="AI34" s="222"/>
      <c r="AJ34" s="221" t="e">
        <f t="shared" si="11"/>
        <v>#REF!</v>
      </c>
      <c r="AK34" s="222"/>
      <c r="AL34" s="221" t="e">
        <f t="shared" si="12"/>
        <v>#REF!</v>
      </c>
      <c r="AM34" s="222"/>
      <c r="AN34" s="221" t="e">
        <f t="shared" si="13"/>
        <v>#REF!</v>
      </c>
      <c r="AO34" s="222"/>
      <c r="AP34" s="221" t="e">
        <f t="shared" si="14"/>
        <v>#REF!</v>
      </c>
      <c r="AQ34" s="222"/>
      <c r="AR34" s="221" t="e">
        <f t="shared" si="15"/>
        <v>#REF!</v>
      </c>
      <c r="AS34" s="222"/>
      <c r="AT34" s="221" t="e">
        <f>#REF!</f>
        <v>#REF!</v>
      </c>
      <c r="AU34" s="222">
        <f t="shared" si="16"/>
        <v>1</v>
      </c>
      <c r="AV34" s="1" t="e">
        <f t="shared" si="19"/>
        <v>#REF!</v>
      </c>
    </row>
    <row r="35" spans="1:48" ht="76.5" customHeight="1" x14ac:dyDescent="0.2">
      <c r="A35" s="233" t="s">
        <v>165</v>
      </c>
      <c r="B35" s="561" t="s">
        <v>223</v>
      </c>
      <c r="C35" s="562"/>
      <c r="D35" s="562"/>
      <c r="E35" s="562"/>
      <c r="F35" s="562"/>
      <c r="G35" s="562"/>
      <c r="H35" s="562"/>
      <c r="I35" s="562"/>
      <c r="J35" s="221" t="e">
        <f t="shared" si="0"/>
        <v>#REF!</v>
      </c>
      <c r="K35" s="222"/>
      <c r="L35" s="221" t="e">
        <f t="shared" si="23"/>
        <v>#REF!</v>
      </c>
      <c r="M35" s="222"/>
      <c r="N35" s="221" t="e">
        <f t="shared" si="24"/>
        <v>#REF!</v>
      </c>
      <c r="O35" s="222"/>
      <c r="P35" s="221" t="e">
        <f t="shared" si="3"/>
        <v>#REF!</v>
      </c>
      <c r="Q35" s="222"/>
      <c r="R35" s="221" t="e">
        <f t="shared" si="4"/>
        <v>#REF!</v>
      </c>
      <c r="S35" s="222"/>
      <c r="T35" s="221" t="e">
        <f t="shared" si="21"/>
        <v>#REF!</v>
      </c>
      <c r="U35" s="222"/>
      <c r="V35" s="221" t="e">
        <f t="shared" si="22"/>
        <v>#REF!</v>
      </c>
      <c r="W35" s="222"/>
      <c r="X35" s="221" t="e">
        <f t="shared" si="25"/>
        <v>#REF!</v>
      </c>
      <c r="Y35" s="222"/>
      <c r="Z35" s="221" t="e">
        <f t="shared" si="7"/>
        <v>#REF!</v>
      </c>
      <c r="AA35" s="222"/>
      <c r="AB35" s="221" t="e">
        <f t="shared" si="26"/>
        <v>#REF!</v>
      </c>
      <c r="AC35" s="222">
        <v>0.33</v>
      </c>
      <c r="AD35" s="221" t="e">
        <f t="shared" si="8"/>
        <v>#REF!</v>
      </c>
      <c r="AE35" s="222">
        <v>0.33</v>
      </c>
      <c r="AF35" s="221" t="e">
        <f>ROUND(AG35*$AT35,2)+0.01</f>
        <v>#REF!</v>
      </c>
      <c r="AG35" s="222">
        <v>0.34</v>
      </c>
      <c r="AH35" s="221" t="e">
        <f t="shared" si="10"/>
        <v>#REF!</v>
      </c>
      <c r="AI35" s="222"/>
      <c r="AJ35" s="221" t="e">
        <f t="shared" si="11"/>
        <v>#REF!</v>
      </c>
      <c r="AK35" s="222"/>
      <c r="AL35" s="221" t="e">
        <f t="shared" si="12"/>
        <v>#REF!</v>
      </c>
      <c r="AM35" s="222"/>
      <c r="AN35" s="221" t="e">
        <f t="shared" si="13"/>
        <v>#REF!</v>
      </c>
      <c r="AO35" s="222"/>
      <c r="AP35" s="221" t="e">
        <f t="shared" si="14"/>
        <v>#REF!</v>
      </c>
      <c r="AQ35" s="222"/>
      <c r="AR35" s="221" t="e">
        <f t="shared" si="15"/>
        <v>#REF!</v>
      </c>
      <c r="AS35" s="222"/>
      <c r="AT35" s="221" t="e">
        <f>#REF!</f>
        <v>#REF!</v>
      </c>
      <c r="AU35" s="222">
        <f t="shared" si="16"/>
        <v>1</v>
      </c>
      <c r="AV35" s="1" t="e">
        <f t="shared" si="19"/>
        <v>#REF!</v>
      </c>
    </row>
    <row r="36" spans="1:48" ht="76.5" customHeight="1" x14ac:dyDescent="0.2">
      <c r="A36" s="233" t="s">
        <v>166</v>
      </c>
      <c r="B36" s="561" t="s">
        <v>223</v>
      </c>
      <c r="C36" s="562"/>
      <c r="D36" s="562"/>
      <c r="E36" s="562"/>
      <c r="F36" s="562"/>
      <c r="G36" s="562"/>
      <c r="H36" s="562"/>
      <c r="I36" s="562"/>
      <c r="J36" s="221" t="e">
        <f t="shared" si="0"/>
        <v>#REF!</v>
      </c>
      <c r="K36" s="222"/>
      <c r="L36" s="221" t="e">
        <f t="shared" si="23"/>
        <v>#REF!</v>
      </c>
      <c r="M36" s="222"/>
      <c r="N36" s="221" t="e">
        <f t="shared" si="24"/>
        <v>#REF!</v>
      </c>
      <c r="O36" s="222"/>
      <c r="P36" s="221" t="e">
        <f t="shared" si="3"/>
        <v>#REF!</v>
      </c>
      <c r="Q36" s="222"/>
      <c r="R36" s="221" t="e">
        <f t="shared" si="4"/>
        <v>#REF!</v>
      </c>
      <c r="S36" s="222"/>
      <c r="T36" s="221" t="e">
        <f t="shared" si="21"/>
        <v>#REF!</v>
      </c>
      <c r="U36" s="222"/>
      <c r="V36" s="221" t="e">
        <f t="shared" si="22"/>
        <v>#REF!</v>
      </c>
      <c r="W36" s="222"/>
      <c r="X36" s="221" t="e">
        <f t="shared" si="25"/>
        <v>#REF!</v>
      </c>
      <c r="Y36" s="222"/>
      <c r="Z36" s="221" t="e">
        <f t="shared" si="7"/>
        <v>#REF!</v>
      </c>
      <c r="AA36" s="222"/>
      <c r="AB36" s="221" t="e">
        <f t="shared" si="26"/>
        <v>#REF!</v>
      </c>
      <c r="AC36" s="222"/>
      <c r="AD36" s="221" t="e">
        <f t="shared" si="8"/>
        <v>#REF!</v>
      </c>
      <c r="AE36" s="222"/>
      <c r="AF36" s="221" t="e">
        <f t="shared" ref="AF36:AF51" si="27">ROUND(AG36*$AT36,2)</f>
        <v>#REF!</v>
      </c>
      <c r="AG36" s="222">
        <v>1</v>
      </c>
      <c r="AH36" s="221" t="e">
        <f t="shared" si="10"/>
        <v>#REF!</v>
      </c>
      <c r="AI36" s="222"/>
      <c r="AJ36" s="221" t="e">
        <f t="shared" si="11"/>
        <v>#REF!</v>
      </c>
      <c r="AK36" s="222"/>
      <c r="AL36" s="221" t="e">
        <f t="shared" si="12"/>
        <v>#REF!</v>
      </c>
      <c r="AM36" s="222"/>
      <c r="AN36" s="221" t="e">
        <f t="shared" si="13"/>
        <v>#REF!</v>
      </c>
      <c r="AO36" s="222"/>
      <c r="AP36" s="221" t="e">
        <f t="shared" si="14"/>
        <v>#REF!</v>
      </c>
      <c r="AQ36" s="222"/>
      <c r="AR36" s="221" t="e">
        <f t="shared" si="15"/>
        <v>#REF!</v>
      </c>
      <c r="AS36" s="222"/>
      <c r="AT36" s="221" t="e">
        <f>#REF!</f>
        <v>#REF!</v>
      </c>
      <c r="AU36" s="222">
        <f t="shared" si="16"/>
        <v>1</v>
      </c>
      <c r="AV36" s="1" t="e">
        <f t="shared" si="19"/>
        <v>#REF!</v>
      </c>
    </row>
    <row r="37" spans="1:48" ht="76.5" customHeight="1" x14ac:dyDescent="0.2">
      <c r="A37" s="234" t="s">
        <v>167</v>
      </c>
      <c r="B37" s="561" t="s">
        <v>223</v>
      </c>
      <c r="C37" s="562"/>
      <c r="D37" s="562"/>
      <c r="E37" s="562"/>
      <c r="F37" s="562"/>
      <c r="G37" s="562"/>
      <c r="H37" s="562"/>
      <c r="I37" s="562"/>
      <c r="J37" s="221" t="e">
        <f t="shared" si="0"/>
        <v>#REF!</v>
      </c>
      <c r="K37" s="222"/>
      <c r="L37" s="221" t="e">
        <f t="shared" si="23"/>
        <v>#REF!</v>
      </c>
      <c r="M37" s="222"/>
      <c r="N37" s="221" t="e">
        <f t="shared" si="24"/>
        <v>#REF!</v>
      </c>
      <c r="O37" s="222"/>
      <c r="P37" s="221" t="e">
        <f t="shared" si="3"/>
        <v>#REF!</v>
      </c>
      <c r="Q37" s="222"/>
      <c r="R37" s="221" t="e">
        <f t="shared" si="4"/>
        <v>#REF!</v>
      </c>
      <c r="S37" s="222"/>
      <c r="T37" s="221" t="e">
        <f t="shared" si="21"/>
        <v>#REF!</v>
      </c>
      <c r="U37" s="222"/>
      <c r="V37" s="221" t="e">
        <f t="shared" si="22"/>
        <v>#REF!</v>
      </c>
      <c r="W37" s="222"/>
      <c r="X37" s="221" t="e">
        <f t="shared" si="25"/>
        <v>#REF!</v>
      </c>
      <c r="Y37" s="222"/>
      <c r="Z37" s="221" t="e">
        <f t="shared" si="7"/>
        <v>#REF!</v>
      </c>
      <c r="AA37" s="222"/>
      <c r="AB37" s="221" t="e">
        <f t="shared" si="26"/>
        <v>#REF!</v>
      </c>
      <c r="AC37" s="222"/>
      <c r="AD37" s="221" t="e">
        <f t="shared" si="8"/>
        <v>#REF!</v>
      </c>
      <c r="AE37" s="222"/>
      <c r="AF37" s="221" t="e">
        <f t="shared" si="27"/>
        <v>#REF!</v>
      </c>
      <c r="AG37" s="222">
        <v>0.5</v>
      </c>
      <c r="AH37" s="221" t="e">
        <f t="shared" si="10"/>
        <v>#REF!</v>
      </c>
      <c r="AI37" s="222">
        <v>0.5</v>
      </c>
      <c r="AJ37" s="221" t="e">
        <f t="shared" si="11"/>
        <v>#REF!</v>
      </c>
      <c r="AK37" s="222"/>
      <c r="AL37" s="221" t="e">
        <f t="shared" si="12"/>
        <v>#REF!</v>
      </c>
      <c r="AM37" s="222"/>
      <c r="AN37" s="221" t="e">
        <f t="shared" si="13"/>
        <v>#REF!</v>
      </c>
      <c r="AO37" s="222"/>
      <c r="AP37" s="221" t="e">
        <f t="shared" si="14"/>
        <v>#REF!</v>
      </c>
      <c r="AQ37" s="222"/>
      <c r="AR37" s="221" t="e">
        <f t="shared" si="15"/>
        <v>#REF!</v>
      </c>
      <c r="AS37" s="222"/>
      <c r="AT37" s="221" t="e">
        <f>#REF!</f>
        <v>#REF!</v>
      </c>
      <c r="AU37" s="222">
        <f t="shared" si="16"/>
        <v>1</v>
      </c>
      <c r="AV37" s="1" t="e">
        <f t="shared" si="19"/>
        <v>#REF!</v>
      </c>
    </row>
    <row r="38" spans="1:48" ht="76.5" customHeight="1" x14ac:dyDescent="0.2">
      <c r="A38" s="233" t="s">
        <v>168</v>
      </c>
      <c r="B38" s="561" t="s">
        <v>223</v>
      </c>
      <c r="C38" s="562"/>
      <c r="D38" s="562"/>
      <c r="E38" s="562"/>
      <c r="F38" s="562"/>
      <c r="G38" s="562"/>
      <c r="H38" s="562"/>
      <c r="I38" s="562"/>
      <c r="J38" s="221" t="e">
        <f t="shared" si="0"/>
        <v>#REF!</v>
      </c>
      <c r="K38" s="222"/>
      <c r="L38" s="221" t="e">
        <f t="shared" si="23"/>
        <v>#REF!</v>
      </c>
      <c r="M38" s="222"/>
      <c r="N38" s="221" t="e">
        <f t="shared" si="24"/>
        <v>#REF!</v>
      </c>
      <c r="O38" s="222"/>
      <c r="P38" s="221" t="e">
        <f t="shared" si="3"/>
        <v>#REF!</v>
      </c>
      <c r="Q38" s="222"/>
      <c r="R38" s="221" t="e">
        <f t="shared" si="4"/>
        <v>#REF!</v>
      </c>
      <c r="S38" s="222"/>
      <c r="T38" s="221" t="e">
        <f t="shared" si="21"/>
        <v>#REF!</v>
      </c>
      <c r="U38" s="222"/>
      <c r="V38" s="221" t="e">
        <f t="shared" si="22"/>
        <v>#REF!</v>
      </c>
      <c r="W38" s="222"/>
      <c r="X38" s="221" t="e">
        <f t="shared" si="25"/>
        <v>#REF!</v>
      </c>
      <c r="Y38" s="222"/>
      <c r="Z38" s="221" t="e">
        <f t="shared" si="7"/>
        <v>#REF!</v>
      </c>
      <c r="AA38" s="222"/>
      <c r="AB38" s="221" t="e">
        <f t="shared" si="26"/>
        <v>#REF!</v>
      </c>
      <c r="AC38" s="222"/>
      <c r="AD38" s="221" t="e">
        <f t="shared" si="8"/>
        <v>#REF!</v>
      </c>
      <c r="AE38" s="222"/>
      <c r="AF38" s="221" t="e">
        <f t="shared" si="27"/>
        <v>#REF!</v>
      </c>
      <c r="AG38" s="222">
        <v>0.5</v>
      </c>
      <c r="AH38" s="221" t="e">
        <f t="shared" si="10"/>
        <v>#REF!</v>
      </c>
      <c r="AI38" s="222">
        <v>0.5</v>
      </c>
      <c r="AJ38" s="221" t="e">
        <f t="shared" si="11"/>
        <v>#REF!</v>
      </c>
      <c r="AK38" s="222"/>
      <c r="AL38" s="221" t="e">
        <f t="shared" si="12"/>
        <v>#REF!</v>
      </c>
      <c r="AM38" s="222"/>
      <c r="AN38" s="221" t="e">
        <f t="shared" si="13"/>
        <v>#REF!</v>
      </c>
      <c r="AO38" s="222"/>
      <c r="AP38" s="221" t="e">
        <f t="shared" si="14"/>
        <v>#REF!</v>
      </c>
      <c r="AQ38" s="222"/>
      <c r="AR38" s="221" t="e">
        <f t="shared" si="15"/>
        <v>#REF!</v>
      </c>
      <c r="AS38" s="222"/>
      <c r="AT38" s="221" t="e">
        <f>#REF!</f>
        <v>#REF!</v>
      </c>
      <c r="AU38" s="222">
        <f t="shared" si="16"/>
        <v>1</v>
      </c>
      <c r="AV38" s="1" t="e">
        <f t="shared" si="19"/>
        <v>#REF!</v>
      </c>
    </row>
    <row r="39" spans="1:48" ht="76.5" customHeight="1" x14ac:dyDescent="0.2">
      <c r="A39" s="234" t="s">
        <v>169</v>
      </c>
      <c r="B39" s="561" t="s">
        <v>223</v>
      </c>
      <c r="C39" s="562"/>
      <c r="D39" s="562"/>
      <c r="E39" s="562"/>
      <c r="F39" s="562"/>
      <c r="G39" s="562"/>
      <c r="H39" s="562"/>
      <c r="I39" s="562"/>
      <c r="J39" s="221" t="e">
        <f t="shared" si="0"/>
        <v>#REF!</v>
      </c>
      <c r="K39" s="222"/>
      <c r="L39" s="221" t="e">
        <f t="shared" si="23"/>
        <v>#REF!</v>
      </c>
      <c r="M39" s="222"/>
      <c r="N39" s="221" t="e">
        <f t="shared" si="24"/>
        <v>#REF!</v>
      </c>
      <c r="O39" s="222"/>
      <c r="P39" s="221" t="e">
        <f t="shared" si="3"/>
        <v>#REF!</v>
      </c>
      <c r="Q39" s="222"/>
      <c r="R39" s="221" t="e">
        <f t="shared" si="4"/>
        <v>#REF!</v>
      </c>
      <c r="S39" s="222"/>
      <c r="T39" s="221" t="e">
        <f t="shared" si="21"/>
        <v>#REF!</v>
      </c>
      <c r="U39" s="222"/>
      <c r="V39" s="221" t="e">
        <f t="shared" si="22"/>
        <v>#REF!</v>
      </c>
      <c r="W39" s="222"/>
      <c r="X39" s="221" t="e">
        <f t="shared" si="25"/>
        <v>#REF!</v>
      </c>
      <c r="Y39" s="222"/>
      <c r="Z39" s="221" t="e">
        <f t="shared" si="7"/>
        <v>#REF!</v>
      </c>
      <c r="AA39" s="222"/>
      <c r="AB39" s="221" t="e">
        <f t="shared" si="26"/>
        <v>#REF!</v>
      </c>
      <c r="AC39" s="222"/>
      <c r="AD39" s="221" t="e">
        <f t="shared" si="8"/>
        <v>#REF!</v>
      </c>
      <c r="AE39" s="222">
        <v>1</v>
      </c>
      <c r="AF39" s="221" t="e">
        <f t="shared" si="27"/>
        <v>#REF!</v>
      </c>
      <c r="AG39" s="222"/>
      <c r="AH39" s="221" t="e">
        <f t="shared" si="10"/>
        <v>#REF!</v>
      </c>
      <c r="AI39" s="222"/>
      <c r="AJ39" s="221" t="e">
        <f t="shared" si="11"/>
        <v>#REF!</v>
      </c>
      <c r="AK39" s="222"/>
      <c r="AL39" s="221" t="e">
        <f t="shared" si="12"/>
        <v>#REF!</v>
      </c>
      <c r="AM39" s="222"/>
      <c r="AN39" s="221" t="e">
        <f t="shared" si="13"/>
        <v>#REF!</v>
      </c>
      <c r="AO39" s="222"/>
      <c r="AP39" s="221" t="e">
        <f t="shared" si="14"/>
        <v>#REF!</v>
      </c>
      <c r="AQ39" s="222"/>
      <c r="AR39" s="221" t="e">
        <f t="shared" si="15"/>
        <v>#REF!</v>
      </c>
      <c r="AS39" s="222"/>
      <c r="AT39" s="221" t="e">
        <f>#REF!</f>
        <v>#REF!</v>
      </c>
      <c r="AU39" s="222">
        <f t="shared" si="16"/>
        <v>1</v>
      </c>
      <c r="AV39" s="1" t="e">
        <f t="shared" si="19"/>
        <v>#REF!</v>
      </c>
    </row>
    <row r="40" spans="1:48" ht="76.5" customHeight="1" x14ac:dyDescent="0.2">
      <c r="A40" s="233" t="s">
        <v>170</v>
      </c>
      <c r="B40" s="561" t="s">
        <v>223</v>
      </c>
      <c r="C40" s="562"/>
      <c r="D40" s="562"/>
      <c r="E40" s="562"/>
      <c r="F40" s="562"/>
      <c r="G40" s="562"/>
      <c r="H40" s="562"/>
      <c r="I40" s="562"/>
      <c r="J40" s="221" t="e">
        <f t="shared" si="0"/>
        <v>#REF!</v>
      </c>
      <c r="K40" s="222"/>
      <c r="L40" s="221" t="e">
        <f t="shared" si="23"/>
        <v>#REF!</v>
      </c>
      <c r="M40" s="222"/>
      <c r="N40" s="221" t="e">
        <f t="shared" si="24"/>
        <v>#REF!</v>
      </c>
      <c r="O40" s="222"/>
      <c r="P40" s="221" t="e">
        <f t="shared" si="3"/>
        <v>#REF!</v>
      </c>
      <c r="Q40" s="222"/>
      <c r="R40" s="221" t="e">
        <f t="shared" si="4"/>
        <v>#REF!</v>
      </c>
      <c r="S40" s="222"/>
      <c r="T40" s="221" t="e">
        <f t="shared" si="21"/>
        <v>#REF!</v>
      </c>
      <c r="U40" s="222"/>
      <c r="V40" s="221" t="e">
        <f t="shared" si="22"/>
        <v>#REF!</v>
      </c>
      <c r="W40" s="222"/>
      <c r="X40" s="221" t="e">
        <f t="shared" si="25"/>
        <v>#REF!</v>
      </c>
      <c r="Y40" s="222"/>
      <c r="Z40" s="221" t="e">
        <f t="shared" si="7"/>
        <v>#REF!</v>
      </c>
      <c r="AA40" s="222"/>
      <c r="AB40" s="221" t="e">
        <f t="shared" si="26"/>
        <v>#REF!</v>
      </c>
      <c r="AC40" s="222"/>
      <c r="AD40" s="221" t="e">
        <f t="shared" si="8"/>
        <v>#REF!</v>
      </c>
      <c r="AE40" s="222">
        <v>0.33</v>
      </c>
      <c r="AF40" s="221" t="e">
        <f t="shared" si="27"/>
        <v>#REF!</v>
      </c>
      <c r="AG40" s="222">
        <v>0.33</v>
      </c>
      <c r="AH40" s="221" t="e">
        <f t="shared" si="10"/>
        <v>#REF!</v>
      </c>
      <c r="AI40" s="222">
        <v>0.34</v>
      </c>
      <c r="AJ40" s="221" t="e">
        <f t="shared" si="11"/>
        <v>#REF!</v>
      </c>
      <c r="AK40" s="222"/>
      <c r="AL40" s="221" t="e">
        <f t="shared" si="12"/>
        <v>#REF!</v>
      </c>
      <c r="AM40" s="222"/>
      <c r="AN40" s="221" t="e">
        <f t="shared" si="13"/>
        <v>#REF!</v>
      </c>
      <c r="AO40" s="222"/>
      <c r="AP40" s="221" t="e">
        <f t="shared" si="14"/>
        <v>#REF!</v>
      </c>
      <c r="AQ40" s="222"/>
      <c r="AR40" s="221" t="e">
        <f t="shared" si="15"/>
        <v>#REF!</v>
      </c>
      <c r="AS40" s="222"/>
      <c r="AT40" s="221" t="e">
        <f>#REF!</f>
        <v>#REF!</v>
      </c>
      <c r="AU40" s="222">
        <f t="shared" si="16"/>
        <v>1</v>
      </c>
      <c r="AV40" s="1" t="e">
        <f t="shared" si="19"/>
        <v>#REF!</v>
      </c>
    </row>
    <row r="41" spans="1:48" ht="76.5" customHeight="1" x14ac:dyDescent="0.2">
      <c r="A41" s="233" t="s">
        <v>171</v>
      </c>
      <c r="B41" s="561" t="s">
        <v>223</v>
      </c>
      <c r="C41" s="562"/>
      <c r="D41" s="562"/>
      <c r="E41" s="562"/>
      <c r="F41" s="562"/>
      <c r="G41" s="562"/>
      <c r="H41" s="562"/>
      <c r="I41" s="562"/>
      <c r="J41" s="221" t="e">
        <f t="shared" si="0"/>
        <v>#REF!</v>
      </c>
      <c r="K41" s="222"/>
      <c r="L41" s="221" t="e">
        <f t="shared" si="23"/>
        <v>#REF!</v>
      </c>
      <c r="M41" s="222"/>
      <c r="N41" s="221" t="e">
        <f t="shared" si="24"/>
        <v>#REF!</v>
      </c>
      <c r="O41" s="222"/>
      <c r="P41" s="221" t="e">
        <f t="shared" si="3"/>
        <v>#REF!</v>
      </c>
      <c r="Q41" s="222"/>
      <c r="R41" s="221" t="e">
        <f t="shared" si="4"/>
        <v>#REF!</v>
      </c>
      <c r="S41" s="222"/>
      <c r="T41" s="221" t="e">
        <f t="shared" si="21"/>
        <v>#REF!</v>
      </c>
      <c r="U41" s="222"/>
      <c r="V41" s="221" t="e">
        <f t="shared" si="22"/>
        <v>#REF!</v>
      </c>
      <c r="W41" s="222"/>
      <c r="X41" s="221" t="e">
        <f t="shared" si="25"/>
        <v>#REF!</v>
      </c>
      <c r="Y41" s="222"/>
      <c r="Z41" s="221" t="e">
        <f t="shared" si="7"/>
        <v>#REF!</v>
      </c>
      <c r="AA41" s="222"/>
      <c r="AB41" s="221" t="e">
        <f t="shared" si="26"/>
        <v>#REF!</v>
      </c>
      <c r="AC41" s="222"/>
      <c r="AD41" s="221" t="e">
        <f t="shared" si="8"/>
        <v>#REF!</v>
      </c>
      <c r="AE41" s="222"/>
      <c r="AF41" s="221" t="e">
        <f t="shared" si="27"/>
        <v>#REF!</v>
      </c>
      <c r="AG41" s="222">
        <v>0.5</v>
      </c>
      <c r="AH41" s="221" t="e">
        <f t="shared" si="10"/>
        <v>#REF!</v>
      </c>
      <c r="AI41" s="222">
        <v>0.5</v>
      </c>
      <c r="AJ41" s="221" t="e">
        <f t="shared" si="11"/>
        <v>#REF!</v>
      </c>
      <c r="AK41" s="222"/>
      <c r="AL41" s="221" t="e">
        <f t="shared" si="12"/>
        <v>#REF!</v>
      </c>
      <c r="AM41" s="222"/>
      <c r="AN41" s="221" t="e">
        <f t="shared" si="13"/>
        <v>#REF!</v>
      </c>
      <c r="AO41" s="222"/>
      <c r="AP41" s="221" t="e">
        <f t="shared" si="14"/>
        <v>#REF!</v>
      </c>
      <c r="AQ41" s="222"/>
      <c r="AR41" s="221" t="e">
        <f t="shared" si="15"/>
        <v>#REF!</v>
      </c>
      <c r="AS41" s="222"/>
      <c r="AT41" s="221" t="e">
        <f>#REF!</f>
        <v>#REF!</v>
      </c>
      <c r="AU41" s="222">
        <f t="shared" si="16"/>
        <v>1</v>
      </c>
      <c r="AV41" s="1" t="e">
        <f t="shared" si="19"/>
        <v>#REF!</v>
      </c>
    </row>
    <row r="42" spans="1:48" ht="76.5" customHeight="1" x14ac:dyDescent="0.2">
      <c r="A42" s="233" t="s">
        <v>172</v>
      </c>
      <c r="B42" s="561" t="s">
        <v>223</v>
      </c>
      <c r="C42" s="562"/>
      <c r="D42" s="562"/>
      <c r="E42" s="562"/>
      <c r="F42" s="562"/>
      <c r="G42" s="562"/>
      <c r="H42" s="562"/>
      <c r="I42" s="562"/>
      <c r="J42" s="221" t="e">
        <f t="shared" si="0"/>
        <v>#REF!</v>
      </c>
      <c r="K42" s="222"/>
      <c r="L42" s="221" t="e">
        <f t="shared" si="23"/>
        <v>#REF!</v>
      </c>
      <c r="M42" s="222"/>
      <c r="N42" s="221" t="e">
        <f t="shared" si="24"/>
        <v>#REF!</v>
      </c>
      <c r="O42" s="222"/>
      <c r="P42" s="221" t="e">
        <f t="shared" si="3"/>
        <v>#REF!</v>
      </c>
      <c r="Q42" s="222"/>
      <c r="R42" s="221" t="e">
        <f t="shared" si="4"/>
        <v>#REF!</v>
      </c>
      <c r="S42" s="222"/>
      <c r="T42" s="221" t="e">
        <f t="shared" si="21"/>
        <v>#REF!</v>
      </c>
      <c r="U42" s="222"/>
      <c r="V42" s="221" t="e">
        <f t="shared" si="22"/>
        <v>#REF!</v>
      </c>
      <c r="W42" s="222"/>
      <c r="X42" s="221" t="e">
        <f t="shared" si="25"/>
        <v>#REF!</v>
      </c>
      <c r="Y42" s="222"/>
      <c r="Z42" s="221" t="e">
        <f t="shared" si="7"/>
        <v>#REF!</v>
      </c>
      <c r="AA42" s="222"/>
      <c r="AB42" s="221" t="e">
        <f t="shared" si="26"/>
        <v>#REF!</v>
      </c>
      <c r="AC42" s="222"/>
      <c r="AD42" s="221" t="e">
        <f t="shared" si="8"/>
        <v>#REF!</v>
      </c>
      <c r="AE42" s="222"/>
      <c r="AF42" s="221" t="e">
        <f t="shared" si="27"/>
        <v>#REF!</v>
      </c>
      <c r="AG42" s="222">
        <v>0.5</v>
      </c>
      <c r="AH42" s="221" t="e">
        <f t="shared" si="10"/>
        <v>#REF!</v>
      </c>
      <c r="AI42" s="222">
        <v>0.5</v>
      </c>
      <c r="AJ42" s="221" t="e">
        <f t="shared" si="11"/>
        <v>#REF!</v>
      </c>
      <c r="AK42" s="222"/>
      <c r="AL42" s="221" t="e">
        <f t="shared" si="12"/>
        <v>#REF!</v>
      </c>
      <c r="AM42" s="222"/>
      <c r="AN42" s="221" t="e">
        <f t="shared" si="13"/>
        <v>#REF!</v>
      </c>
      <c r="AO42" s="222"/>
      <c r="AP42" s="221" t="e">
        <f t="shared" si="14"/>
        <v>#REF!</v>
      </c>
      <c r="AQ42" s="222"/>
      <c r="AR42" s="221" t="e">
        <f t="shared" si="15"/>
        <v>#REF!</v>
      </c>
      <c r="AS42" s="222"/>
      <c r="AT42" s="221" t="e">
        <f>#REF!</f>
        <v>#REF!</v>
      </c>
      <c r="AU42" s="222">
        <f t="shared" ref="AU42:AU51" si="28">SUMIF($J$9:$AS$9,AU$9,J42:AS42)</f>
        <v>1</v>
      </c>
      <c r="AV42" s="1" t="e">
        <f t="shared" si="19"/>
        <v>#REF!</v>
      </c>
    </row>
    <row r="43" spans="1:48" ht="76.5" customHeight="1" x14ac:dyDescent="0.2">
      <c r="A43" s="234" t="s">
        <v>173</v>
      </c>
      <c r="B43" s="561" t="s">
        <v>223</v>
      </c>
      <c r="C43" s="562"/>
      <c r="D43" s="562"/>
      <c r="E43" s="562"/>
      <c r="F43" s="562"/>
      <c r="G43" s="562"/>
      <c r="H43" s="562"/>
      <c r="I43" s="562"/>
      <c r="J43" s="221" t="e">
        <f t="shared" si="0"/>
        <v>#REF!</v>
      </c>
      <c r="K43" s="222"/>
      <c r="L43" s="221" t="e">
        <f t="shared" si="23"/>
        <v>#REF!</v>
      </c>
      <c r="M43" s="222"/>
      <c r="N43" s="221" t="e">
        <f t="shared" si="24"/>
        <v>#REF!</v>
      </c>
      <c r="O43" s="222"/>
      <c r="P43" s="221" t="e">
        <f t="shared" si="3"/>
        <v>#REF!</v>
      </c>
      <c r="Q43" s="222"/>
      <c r="R43" s="221" t="e">
        <f t="shared" si="4"/>
        <v>#REF!</v>
      </c>
      <c r="S43" s="222"/>
      <c r="T43" s="221" t="e">
        <f t="shared" si="21"/>
        <v>#REF!</v>
      </c>
      <c r="U43" s="222"/>
      <c r="V43" s="221" t="e">
        <f t="shared" si="22"/>
        <v>#REF!</v>
      </c>
      <c r="W43" s="222"/>
      <c r="X43" s="221" t="e">
        <f t="shared" si="25"/>
        <v>#REF!</v>
      </c>
      <c r="Y43" s="222"/>
      <c r="Z43" s="221" t="e">
        <f t="shared" si="7"/>
        <v>#REF!</v>
      </c>
      <c r="AA43" s="222"/>
      <c r="AB43" s="221" t="e">
        <f t="shared" si="26"/>
        <v>#REF!</v>
      </c>
      <c r="AC43" s="222"/>
      <c r="AD43" s="221" t="e">
        <f t="shared" si="8"/>
        <v>#REF!</v>
      </c>
      <c r="AE43" s="222"/>
      <c r="AF43" s="221" t="e">
        <f t="shared" si="27"/>
        <v>#REF!</v>
      </c>
      <c r="AG43" s="222"/>
      <c r="AH43" s="221" t="e">
        <f t="shared" si="10"/>
        <v>#REF!</v>
      </c>
      <c r="AI43" s="222">
        <v>1</v>
      </c>
      <c r="AJ43" s="221" t="e">
        <f t="shared" si="11"/>
        <v>#REF!</v>
      </c>
      <c r="AK43" s="222"/>
      <c r="AL43" s="221" t="e">
        <f t="shared" si="12"/>
        <v>#REF!</v>
      </c>
      <c r="AM43" s="222"/>
      <c r="AN43" s="221" t="e">
        <f t="shared" si="13"/>
        <v>#REF!</v>
      </c>
      <c r="AO43" s="222"/>
      <c r="AP43" s="221" t="e">
        <f t="shared" si="14"/>
        <v>#REF!</v>
      </c>
      <c r="AQ43" s="222"/>
      <c r="AR43" s="221" t="e">
        <f t="shared" si="15"/>
        <v>#REF!</v>
      </c>
      <c r="AS43" s="222"/>
      <c r="AT43" s="221" t="e">
        <f>#REF!</f>
        <v>#REF!</v>
      </c>
      <c r="AU43" s="222">
        <f t="shared" si="28"/>
        <v>1</v>
      </c>
      <c r="AV43" s="1" t="e">
        <f t="shared" si="19"/>
        <v>#REF!</v>
      </c>
    </row>
    <row r="44" spans="1:48" ht="76.5" customHeight="1" x14ac:dyDescent="0.2">
      <c r="A44" s="233" t="s">
        <v>174</v>
      </c>
      <c r="B44" s="561" t="s">
        <v>223</v>
      </c>
      <c r="C44" s="562"/>
      <c r="D44" s="562"/>
      <c r="E44" s="562"/>
      <c r="F44" s="562"/>
      <c r="G44" s="562"/>
      <c r="H44" s="562"/>
      <c r="I44" s="562"/>
      <c r="J44" s="221" t="e">
        <f t="shared" si="0"/>
        <v>#REF!</v>
      </c>
      <c r="K44" s="222"/>
      <c r="L44" s="221" t="e">
        <f t="shared" si="23"/>
        <v>#REF!</v>
      </c>
      <c r="M44" s="222"/>
      <c r="N44" s="221" t="e">
        <f t="shared" si="24"/>
        <v>#REF!</v>
      </c>
      <c r="O44" s="222"/>
      <c r="P44" s="221" t="e">
        <f t="shared" si="3"/>
        <v>#REF!</v>
      </c>
      <c r="Q44" s="222"/>
      <c r="R44" s="221" t="e">
        <f t="shared" si="4"/>
        <v>#REF!</v>
      </c>
      <c r="S44" s="222"/>
      <c r="T44" s="221" t="e">
        <f t="shared" si="21"/>
        <v>#REF!</v>
      </c>
      <c r="U44" s="222"/>
      <c r="V44" s="221" t="e">
        <f t="shared" si="22"/>
        <v>#REF!</v>
      </c>
      <c r="W44" s="222"/>
      <c r="X44" s="221" t="e">
        <f t="shared" si="25"/>
        <v>#REF!</v>
      </c>
      <c r="Y44" s="222"/>
      <c r="Z44" s="221" t="e">
        <f t="shared" si="7"/>
        <v>#REF!</v>
      </c>
      <c r="AA44" s="222"/>
      <c r="AB44" s="221" t="e">
        <f t="shared" si="26"/>
        <v>#REF!</v>
      </c>
      <c r="AC44" s="222"/>
      <c r="AD44" s="221" t="e">
        <f t="shared" si="8"/>
        <v>#REF!</v>
      </c>
      <c r="AE44" s="222"/>
      <c r="AF44" s="221" t="e">
        <f t="shared" si="27"/>
        <v>#REF!</v>
      </c>
      <c r="AG44" s="222"/>
      <c r="AH44" s="221" t="e">
        <f t="shared" si="10"/>
        <v>#REF!</v>
      </c>
      <c r="AI44" s="222">
        <v>1</v>
      </c>
      <c r="AJ44" s="221" t="e">
        <f t="shared" si="11"/>
        <v>#REF!</v>
      </c>
      <c r="AK44" s="222"/>
      <c r="AL44" s="221" t="e">
        <f t="shared" si="12"/>
        <v>#REF!</v>
      </c>
      <c r="AM44" s="222"/>
      <c r="AN44" s="221" t="e">
        <f t="shared" si="13"/>
        <v>#REF!</v>
      </c>
      <c r="AO44" s="222"/>
      <c r="AP44" s="221" t="e">
        <f t="shared" si="14"/>
        <v>#REF!</v>
      </c>
      <c r="AQ44" s="222"/>
      <c r="AR44" s="221" t="e">
        <f t="shared" si="15"/>
        <v>#REF!</v>
      </c>
      <c r="AS44" s="222"/>
      <c r="AT44" s="221" t="e">
        <f>#REF!</f>
        <v>#REF!</v>
      </c>
      <c r="AU44" s="222">
        <f t="shared" si="28"/>
        <v>1</v>
      </c>
      <c r="AV44" s="1" t="e">
        <f t="shared" si="19"/>
        <v>#REF!</v>
      </c>
    </row>
    <row r="45" spans="1:48" ht="76.5" customHeight="1" x14ac:dyDescent="0.2">
      <c r="A45" s="233" t="s">
        <v>175</v>
      </c>
      <c r="B45" s="561" t="s">
        <v>223</v>
      </c>
      <c r="C45" s="562"/>
      <c r="D45" s="562"/>
      <c r="E45" s="562"/>
      <c r="F45" s="562"/>
      <c r="G45" s="562"/>
      <c r="H45" s="562"/>
      <c r="I45" s="562"/>
      <c r="J45" s="221" t="e">
        <f t="shared" si="0"/>
        <v>#REF!</v>
      </c>
      <c r="K45" s="222"/>
      <c r="L45" s="221" t="e">
        <f t="shared" si="23"/>
        <v>#REF!</v>
      </c>
      <c r="M45" s="222"/>
      <c r="N45" s="221" t="e">
        <f t="shared" si="24"/>
        <v>#REF!</v>
      </c>
      <c r="O45" s="222"/>
      <c r="P45" s="221" t="e">
        <f t="shared" si="3"/>
        <v>#REF!</v>
      </c>
      <c r="Q45" s="222"/>
      <c r="R45" s="221" t="e">
        <f t="shared" si="4"/>
        <v>#REF!</v>
      </c>
      <c r="S45" s="222"/>
      <c r="T45" s="221" t="e">
        <f t="shared" si="21"/>
        <v>#REF!</v>
      </c>
      <c r="U45" s="222"/>
      <c r="V45" s="221" t="e">
        <f t="shared" si="22"/>
        <v>#REF!</v>
      </c>
      <c r="W45" s="222"/>
      <c r="X45" s="221" t="e">
        <f t="shared" si="25"/>
        <v>#REF!</v>
      </c>
      <c r="Y45" s="222"/>
      <c r="Z45" s="221" t="e">
        <f t="shared" si="7"/>
        <v>#REF!</v>
      </c>
      <c r="AA45" s="222"/>
      <c r="AB45" s="221" t="e">
        <f t="shared" si="26"/>
        <v>#REF!</v>
      </c>
      <c r="AC45" s="222"/>
      <c r="AD45" s="221" t="e">
        <f t="shared" si="8"/>
        <v>#REF!</v>
      </c>
      <c r="AE45" s="222"/>
      <c r="AF45" s="221" t="e">
        <f t="shared" si="27"/>
        <v>#REF!</v>
      </c>
      <c r="AG45" s="222"/>
      <c r="AH45" s="221" t="e">
        <f t="shared" si="10"/>
        <v>#REF!</v>
      </c>
      <c r="AI45" s="222"/>
      <c r="AJ45" s="221" t="e">
        <f t="shared" si="11"/>
        <v>#REF!</v>
      </c>
      <c r="AK45" s="222">
        <v>0.5</v>
      </c>
      <c r="AL45" s="221" t="e">
        <f>ROUND(AM45*$AT45,2)-0.01</f>
        <v>#REF!</v>
      </c>
      <c r="AM45" s="222">
        <v>0.5</v>
      </c>
      <c r="AN45" s="221" t="e">
        <f t="shared" si="13"/>
        <v>#REF!</v>
      </c>
      <c r="AO45" s="222"/>
      <c r="AP45" s="221" t="e">
        <f t="shared" si="14"/>
        <v>#REF!</v>
      </c>
      <c r="AQ45" s="222"/>
      <c r="AR45" s="221" t="e">
        <f t="shared" si="15"/>
        <v>#REF!</v>
      </c>
      <c r="AS45" s="222"/>
      <c r="AT45" s="221" t="e">
        <f>#REF!</f>
        <v>#REF!</v>
      </c>
      <c r="AU45" s="222">
        <f t="shared" si="28"/>
        <v>1</v>
      </c>
      <c r="AV45" s="1" t="e">
        <f t="shared" si="19"/>
        <v>#REF!</v>
      </c>
    </row>
    <row r="46" spans="1:48" ht="76.5" customHeight="1" x14ac:dyDescent="0.2">
      <c r="A46" s="233" t="s">
        <v>176</v>
      </c>
      <c r="B46" s="561" t="s">
        <v>223</v>
      </c>
      <c r="C46" s="562"/>
      <c r="D46" s="562"/>
      <c r="E46" s="562"/>
      <c r="F46" s="562"/>
      <c r="G46" s="562"/>
      <c r="H46" s="562"/>
      <c r="I46" s="562"/>
      <c r="J46" s="221" t="e">
        <f t="shared" si="0"/>
        <v>#REF!</v>
      </c>
      <c r="K46" s="222"/>
      <c r="L46" s="221" t="e">
        <f t="shared" si="23"/>
        <v>#REF!</v>
      </c>
      <c r="M46" s="222"/>
      <c r="N46" s="221" t="e">
        <f t="shared" si="24"/>
        <v>#REF!</v>
      </c>
      <c r="O46" s="222"/>
      <c r="P46" s="221" t="e">
        <f t="shared" si="3"/>
        <v>#REF!</v>
      </c>
      <c r="Q46" s="222"/>
      <c r="R46" s="221" t="e">
        <f t="shared" si="4"/>
        <v>#REF!</v>
      </c>
      <c r="S46" s="222"/>
      <c r="T46" s="221" t="e">
        <f t="shared" si="21"/>
        <v>#REF!</v>
      </c>
      <c r="U46" s="222"/>
      <c r="V46" s="221" t="e">
        <f t="shared" si="22"/>
        <v>#REF!</v>
      </c>
      <c r="W46" s="222"/>
      <c r="X46" s="221" t="e">
        <f t="shared" si="25"/>
        <v>#REF!</v>
      </c>
      <c r="Y46" s="222"/>
      <c r="Z46" s="221" t="e">
        <f t="shared" si="7"/>
        <v>#REF!</v>
      </c>
      <c r="AA46" s="222"/>
      <c r="AB46" s="221" t="e">
        <f t="shared" si="26"/>
        <v>#REF!</v>
      </c>
      <c r="AC46" s="222"/>
      <c r="AD46" s="221" t="e">
        <f t="shared" si="8"/>
        <v>#REF!</v>
      </c>
      <c r="AE46" s="222"/>
      <c r="AF46" s="221" t="e">
        <f t="shared" si="27"/>
        <v>#REF!</v>
      </c>
      <c r="AG46" s="222"/>
      <c r="AH46" s="221" t="e">
        <f t="shared" si="10"/>
        <v>#REF!</v>
      </c>
      <c r="AI46" s="222"/>
      <c r="AJ46" s="221" t="e">
        <f t="shared" si="11"/>
        <v>#REF!</v>
      </c>
      <c r="AK46" s="222"/>
      <c r="AL46" s="221" t="e">
        <f t="shared" ref="AL46:AL51" si="29">ROUND(AM46*$AT46,2)</f>
        <v>#REF!</v>
      </c>
      <c r="AM46" s="222"/>
      <c r="AN46" s="221" t="e">
        <f t="shared" si="13"/>
        <v>#REF!</v>
      </c>
      <c r="AO46" s="222">
        <v>1</v>
      </c>
      <c r="AP46" s="221" t="e">
        <f t="shared" si="14"/>
        <v>#REF!</v>
      </c>
      <c r="AQ46" s="222"/>
      <c r="AR46" s="221" t="e">
        <f t="shared" si="15"/>
        <v>#REF!</v>
      </c>
      <c r="AS46" s="222"/>
      <c r="AT46" s="221" t="e">
        <f>#REF!</f>
        <v>#REF!</v>
      </c>
      <c r="AU46" s="222">
        <f t="shared" si="28"/>
        <v>1</v>
      </c>
      <c r="AV46" s="1" t="e">
        <f t="shared" si="19"/>
        <v>#REF!</v>
      </c>
    </row>
    <row r="47" spans="1:48" ht="76.5" customHeight="1" x14ac:dyDescent="0.2">
      <c r="A47" s="234" t="s">
        <v>177</v>
      </c>
      <c r="B47" s="561" t="s">
        <v>223</v>
      </c>
      <c r="C47" s="562"/>
      <c r="D47" s="562"/>
      <c r="E47" s="562"/>
      <c r="F47" s="562"/>
      <c r="G47" s="562"/>
      <c r="H47" s="562"/>
      <c r="I47" s="562"/>
      <c r="J47" s="221" t="e">
        <f t="shared" si="0"/>
        <v>#REF!</v>
      </c>
      <c r="K47" s="222"/>
      <c r="L47" s="221" t="e">
        <f t="shared" si="23"/>
        <v>#REF!</v>
      </c>
      <c r="M47" s="222"/>
      <c r="N47" s="221" t="e">
        <f t="shared" si="24"/>
        <v>#REF!</v>
      </c>
      <c r="O47" s="222"/>
      <c r="P47" s="221" t="e">
        <f t="shared" si="3"/>
        <v>#REF!</v>
      </c>
      <c r="Q47" s="222"/>
      <c r="R47" s="221" t="e">
        <f t="shared" si="4"/>
        <v>#REF!</v>
      </c>
      <c r="S47" s="222"/>
      <c r="T47" s="221" t="e">
        <f t="shared" si="21"/>
        <v>#REF!</v>
      </c>
      <c r="U47" s="222"/>
      <c r="V47" s="221" t="e">
        <f t="shared" si="22"/>
        <v>#REF!</v>
      </c>
      <c r="W47" s="222"/>
      <c r="X47" s="221" t="e">
        <f t="shared" si="25"/>
        <v>#REF!</v>
      </c>
      <c r="Y47" s="222"/>
      <c r="Z47" s="221" t="e">
        <f t="shared" si="7"/>
        <v>#REF!</v>
      </c>
      <c r="AA47" s="222"/>
      <c r="AB47" s="221" t="e">
        <f t="shared" si="26"/>
        <v>#REF!</v>
      </c>
      <c r="AC47" s="222"/>
      <c r="AD47" s="221" t="e">
        <f t="shared" si="8"/>
        <v>#REF!</v>
      </c>
      <c r="AE47" s="222"/>
      <c r="AF47" s="221" t="e">
        <f t="shared" si="27"/>
        <v>#REF!</v>
      </c>
      <c r="AG47" s="222"/>
      <c r="AH47" s="221" t="e">
        <f t="shared" si="10"/>
        <v>#REF!</v>
      </c>
      <c r="AI47" s="222"/>
      <c r="AJ47" s="221" t="e">
        <f t="shared" si="11"/>
        <v>#REF!</v>
      </c>
      <c r="AK47" s="222"/>
      <c r="AL47" s="221" t="e">
        <f t="shared" si="29"/>
        <v>#REF!</v>
      </c>
      <c r="AM47" s="222"/>
      <c r="AN47" s="221" t="e">
        <f t="shared" si="13"/>
        <v>#REF!</v>
      </c>
      <c r="AO47" s="222">
        <v>1</v>
      </c>
      <c r="AP47" s="221" t="e">
        <f t="shared" si="14"/>
        <v>#REF!</v>
      </c>
      <c r="AQ47" s="222"/>
      <c r="AR47" s="221" t="e">
        <f t="shared" si="15"/>
        <v>#REF!</v>
      </c>
      <c r="AS47" s="222"/>
      <c r="AT47" s="221" t="e">
        <f>#REF!</f>
        <v>#REF!</v>
      </c>
      <c r="AU47" s="222">
        <f t="shared" si="28"/>
        <v>1</v>
      </c>
      <c r="AV47" s="1" t="e">
        <f t="shared" si="19"/>
        <v>#REF!</v>
      </c>
    </row>
    <row r="48" spans="1:48" ht="76.5" customHeight="1" x14ac:dyDescent="0.2">
      <c r="A48" s="233" t="s">
        <v>178</v>
      </c>
      <c r="B48" s="561" t="s">
        <v>223</v>
      </c>
      <c r="C48" s="562"/>
      <c r="D48" s="562"/>
      <c r="E48" s="562"/>
      <c r="F48" s="562"/>
      <c r="G48" s="562"/>
      <c r="H48" s="562"/>
      <c r="I48" s="562"/>
      <c r="J48" s="221" t="e">
        <f t="shared" si="0"/>
        <v>#REF!</v>
      </c>
      <c r="K48" s="222"/>
      <c r="L48" s="221" t="e">
        <f t="shared" si="23"/>
        <v>#REF!</v>
      </c>
      <c r="M48" s="222"/>
      <c r="N48" s="221" t="e">
        <f t="shared" si="24"/>
        <v>#REF!</v>
      </c>
      <c r="O48" s="222"/>
      <c r="P48" s="221" t="e">
        <f t="shared" si="3"/>
        <v>#REF!</v>
      </c>
      <c r="Q48" s="222"/>
      <c r="R48" s="221" t="e">
        <f t="shared" si="4"/>
        <v>#REF!</v>
      </c>
      <c r="S48" s="222"/>
      <c r="T48" s="221" t="e">
        <f t="shared" si="21"/>
        <v>#REF!</v>
      </c>
      <c r="U48" s="222"/>
      <c r="V48" s="221" t="e">
        <f t="shared" si="22"/>
        <v>#REF!</v>
      </c>
      <c r="W48" s="222"/>
      <c r="X48" s="221" t="e">
        <f t="shared" si="25"/>
        <v>#REF!</v>
      </c>
      <c r="Y48" s="222"/>
      <c r="Z48" s="221" t="e">
        <f t="shared" si="7"/>
        <v>#REF!</v>
      </c>
      <c r="AA48" s="222"/>
      <c r="AB48" s="221" t="e">
        <f t="shared" si="26"/>
        <v>#REF!</v>
      </c>
      <c r="AC48" s="222"/>
      <c r="AD48" s="221" t="e">
        <f t="shared" si="8"/>
        <v>#REF!</v>
      </c>
      <c r="AE48" s="222"/>
      <c r="AF48" s="221" t="e">
        <f t="shared" si="27"/>
        <v>#REF!</v>
      </c>
      <c r="AG48" s="222"/>
      <c r="AH48" s="221" t="e">
        <f t="shared" si="10"/>
        <v>#REF!</v>
      </c>
      <c r="AI48" s="222"/>
      <c r="AJ48" s="221" t="e">
        <f t="shared" si="11"/>
        <v>#REF!</v>
      </c>
      <c r="AK48" s="222"/>
      <c r="AL48" s="221" t="e">
        <f t="shared" si="29"/>
        <v>#REF!</v>
      </c>
      <c r="AM48" s="222"/>
      <c r="AN48" s="221" t="e">
        <f t="shared" si="13"/>
        <v>#REF!</v>
      </c>
      <c r="AO48" s="222">
        <v>0.5</v>
      </c>
      <c r="AP48" s="221" t="e">
        <f>ROUND(AQ48*$AT48,2)-0.01</f>
        <v>#REF!</v>
      </c>
      <c r="AQ48" s="222">
        <v>0.5</v>
      </c>
      <c r="AR48" s="221" t="e">
        <f t="shared" si="15"/>
        <v>#REF!</v>
      </c>
      <c r="AS48" s="222"/>
      <c r="AT48" s="221" t="e">
        <f>#REF!</f>
        <v>#REF!</v>
      </c>
      <c r="AU48" s="222">
        <f t="shared" si="28"/>
        <v>1</v>
      </c>
      <c r="AV48" s="1" t="e">
        <f t="shared" si="19"/>
        <v>#REF!</v>
      </c>
    </row>
    <row r="49" spans="1:48" ht="76.5" customHeight="1" x14ac:dyDescent="0.2">
      <c r="A49" s="233" t="s">
        <v>179</v>
      </c>
      <c r="B49" s="561" t="s">
        <v>223</v>
      </c>
      <c r="C49" s="562"/>
      <c r="D49" s="562"/>
      <c r="E49" s="562"/>
      <c r="F49" s="562"/>
      <c r="G49" s="562"/>
      <c r="H49" s="562"/>
      <c r="I49" s="562"/>
      <c r="J49" s="221" t="e">
        <f t="shared" si="0"/>
        <v>#REF!</v>
      </c>
      <c r="K49" s="222"/>
      <c r="L49" s="221" t="e">
        <f t="shared" si="23"/>
        <v>#REF!</v>
      </c>
      <c r="M49" s="222"/>
      <c r="N49" s="221" t="e">
        <f t="shared" si="24"/>
        <v>#REF!</v>
      </c>
      <c r="O49" s="222"/>
      <c r="P49" s="221" t="e">
        <f t="shared" si="3"/>
        <v>#REF!</v>
      </c>
      <c r="Q49" s="222"/>
      <c r="R49" s="221" t="e">
        <f t="shared" si="4"/>
        <v>#REF!</v>
      </c>
      <c r="S49" s="222"/>
      <c r="T49" s="221" t="e">
        <f t="shared" si="21"/>
        <v>#REF!</v>
      </c>
      <c r="U49" s="222"/>
      <c r="V49" s="221" t="e">
        <f t="shared" si="22"/>
        <v>#REF!</v>
      </c>
      <c r="W49" s="222"/>
      <c r="X49" s="221" t="e">
        <f t="shared" si="25"/>
        <v>#REF!</v>
      </c>
      <c r="Y49" s="222"/>
      <c r="Z49" s="221" t="e">
        <f t="shared" si="7"/>
        <v>#REF!</v>
      </c>
      <c r="AA49" s="222"/>
      <c r="AB49" s="221" t="e">
        <f t="shared" si="26"/>
        <v>#REF!</v>
      </c>
      <c r="AC49" s="222"/>
      <c r="AD49" s="221" t="e">
        <f t="shared" si="8"/>
        <v>#REF!</v>
      </c>
      <c r="AE49" s="222"/>
      <c r="AF49" s="221" t="e">
        <f t="shared" si="27"/>
        <v>#REF!</v>
      </c>
      <c r="AG49" s="222"/>
      <c r="AH49" s="221" t="e">
        <f t="shared" si="10"/>
        <v>#REF!</v>
      </c>
      <c r="AI49" s="222"/>
      <c r="AJ49" s="221" t="e">
        <f t="shared" si="11"/>
        <v>#REF!</v>
      </c>
      <c r="AK49" s="222"/>
      <c r="AL49" s="221" t="e">
        <f t="shared" si="29"/>
        <v>#REF!</v>
      </c>
      <c r="AM49" s="222"/>
      <c r="AN49" s="221" t="e">
        <f t="shared" si="13"/>
        <v>#REF!</v>
      </c>
      <c r="AO49" s="222">
        <v>0.5</v>
      </c>
      <c r="AP49" s="221" t="e">
        <f>ROUND(AQ49*$AT49,2)</f>
        <v>#REF!</v>
      </c>
      <c r="AQ49" s="222">
        <v>0.5</v>
      </c>
      <c r="AR49" s="221" t="e">
        <f t="shared" si="15"/>
        <v>#REF!</v>
      </c>
      <c r="AS49" s="222"/>
      <c r="AT49" s="221" t="e">
        <f>#REF!</f>
        <v>#REF!</v>
      </c>
      <c r="AU49" s="222">
        <f t="shared" si="28"/>
        <v>1</v>
      </c>
      <c r="AV49" s="1" t="e">
        <f t="shared" si="19"/>
        <v>#REF!</v>
      </c>
    </row>
    <row r="50" spans="1:48" ht="76.5" customHeight="1" x14ac:dyDescent="0.2">
      <c r="A50" s="233" t="s">
        <v>180</v>
      </c>
      <c r="B50" s="561" t="s">
        <v>223</v>
      </c>
      <c r="C50" s="562"/>
      <c r="D50" s="562"/>
      <c r="E50" s="562"/>
      <c r="F50" s="562"/>
      <c r="G50" s="562"/>
      <c r="H50" s="562"/>
      <c r="I50" s="562"/>
      <c r="J50" s="221" t="e">
        <f t="shared" si="0"/>
        <v>#REF!</v>
      </c>
      <c r="K50" s="222"/>
      <c r="L50" s="221" t="e">
        <f t="shared" si="23"/>
        <v>#REF!</v>
      </c>
      <c r="M50" s="222"/>
      <c r="N50" s="221" t="e">
        <f t="shared" si="24"/>
        <v>#REF!</v>
      </c>
      <c r="O50" s="222"/>
      <c r="P50" s="221" t="e">
        <f t="shared" si="3"/>
        <v>#REF!</v>
      </c>
      <c r="Q50" s="222"/>
      <c r="R50" s="221" t="e">
        <f t="shared" si="4"/>
        <v>#REF!</v>
      </c>
      <c r="S50" s="222"/>
      <c r="T50" s="221" t="e">
        <f t="shared" si="21"/>
        <v>#REF!</v>
      </c>
      <c r="U50" s="222"/>
      <c r="V50" s="221" t="e">
        <f t="shared" si="22"/>
        <v>#REF!</v>
      </c>
      <c r="W50" s="222"/>
      <c r="X50" s="221" t="e">
        <f t="shared" si="25"/>
        <v>#REF!</v>
      </c>
      <c r="Y50" s="222"/>
      <c r="Z50" s="221" t="e">
        <f t="shared" si="7"/>
        <v>#REF!</v>
      </c>
      <c r="AA50" s="222"/>
      <c r="AB50" s="221" t="e">
        <f t="shared" si="26"/>
        <v>#REF!</v>
      </c>
      <c r="AC50" s="222"/>
      <c r="AD50" s="221" t="e">
        <f t="shared" si="8"/>
        <v>#REF!</v>
      </c>
      <c r="AE50" s="222"/>
      <c r="AF50" s="221" t="e">
        <f t="shared" si="27"/>
        <v>#REF!</v>
      </c>
      <c r="AG50" s="222"/>
      <c r="AH50" s="221" t="e">
        <f t="shared" si="10"/>
        <v>#REF!</v>
      </c>
      <c r="AI50" s="222"/>
      <c r="AJ50" s="221" t="e">
        <f t="shared" si="11"/>
        <v>#REF!</v>
      </c>
      <c r="AK50" s="222"/>
      <c r="AL50" s="221" t="e">
        <f t="shared" si="29"/>
        <v>#REF!</v>
      </c>
      <c r="AM50" s="222"/>
      <c r="AN50" s="221" t="e">
        <f t="shared" si="13"/>
        <v>#REF!</v>
      </c>
      <c r="AO50" s="222">
        <v>0.5</v>
      </c>
      <c r="AP50" s="221" t="e">
        <f>ROUND(AQ50*$AT50,2)</f>
        <v>#REF!</v>
      </c>
      <c r="AQ50" s="222">
        <v>0.5</v>
      </c>
      <c r="AR50" s="221" t="e">
        <f t="shared" si="15"/>
        <v>#REF!</v>
      </c>
      <c r="AS50" s="222"/>
      <c r="AT50" s="221" t="e">
        <f>#REF!</f>
        <v>#REF!</v>
      </c>
      <c r="AU50" s="222">
        <f t="shared" si="28"/>
        <v>1</v>
      </c>
      <c r="AV50" s="1" t="e">
        <f t="shared" si="19"/>
        <v>#REF!</v>
      </c>
    </row>
    <row r="51" spans="1:48" ht="76.5" customHeight="1" x14ac:dyDescent="0.2">
      <c r="A51" s="234" t="s">
        <v>181</v>
      </c>
      <c r="B51" s="561" t="s">
        <v>223</v>
      </c>
      <c r="C51" s="562"/>
      <c r="D51" s="562"/>
      <c r="E51" s="562"/>
      <c r="F51" s="562"/>
      <c r="G51" s="562"/>
      <c r="H51" s="562"/>
      <c r="I51" s="562"/>
      <c r="J51" s="221" t="e">
        <f t="shared" si="0"/>
        <v>#REF!</v>
      </c>
      <c r="K51" s="222"/>
      <c r="L51" s="221" t="e">
        <f t="shared" si="23"/>
        <v>#REF!</v>
      </c>
      <c r="M51" s="222"/>
      <c r="N51" s="221" t="e">
        <f t="shared" si="24"/>
        <v>#REF!</v>
      </c>
      <c r="O51" s="222"/>
      <c r="P51" s="221" t="e">
        <f t="shared" si="3"/>
        <v>#REF!</v>
      </c>
      <c r="Q51" s="222"/>
      <c r="R51" s="221" t="e">
        <f t="shared" si="4"/>
        <v>#REF!</v>
      </c>
      <c r="S51" s="222"/>
      <c r="T51" s="221" t="e">
        <f t="shared" si="21"/>
        <v>#REF!</v>
      </c>
      <c r="U51" s="222"/>
      <c r="V51" s="221" t="e">
        <f t="shared" si="22"/>
        <v>#REF!</v>
      </c>
      <c r="W51" s="222"/>
      <c r="X51" s="221" t="e">
        <f t="shared" si="25"/>
        <v>#REF!</v>
      </c>
      <c r="Y51" s="222"/>
      <c r="Z51" s="221" t="e">
        <f t="shared" si="7"/>
        <v>#REF!</v>
      </c>
      <c r="AA51" s="222"/>
      <c r="AB51" s="221" t="e">
        <f t="shared" si="26"/>
        <v>#REF!</v>
      </c>
      <c r="AC51" s="222"/>
      <c r="AD51" s="221" t="e">
        <f t="shared" si="8"/>
        <v>#REF!</v>
      </c>
      <c r="AE51" s="222"/>
      <c r="AF51" s="221" t="e">
        <f t="shared" si="27"/>
        <v>#REF!</v>
      </c>
      <c r="AG51" s="222"/>
      <c r="AH51" s="221" t="e">
        <f t="shared" si="10"/>
        <v>#REF!</v>
      </c>
      <c r="AI51" s="222"/>
      <c r="AJ51" s="221" t="e">
        <f t="shared" si="11"/>
        <v>#REF!</v>
      </c>
      <c r="AK51" s="222"/>
      <c r="AL51" s="221" t="e">
        <f t="shared" si="29"/>
        <v>#REF!</v>
      </c>
      <c r="AM51" s="222"/>
      <c r="AN51" s="221" t="e">
        <f t="shared" si="13"/>
        <v>#REF!</v>
      </c>
      <c r="AO51" s="222"/>
      <c r="AP51" s="221" t="e">
        <f>ROUND(AQ51*$AT51,2)</f>
        <v>#REF!</v>
      </c>
      <c r="AQ51" s="222">
        <v>0.5</v>
      </c>
      <c r="AR51" s="221" t="e">
        <f>ROUND(AS51*$AT51,2)-0.01</f>
        <v>#REF!</v>
      </c>
      <c r="AS51" s="222">
        <v>0.5</v>
      </c>
      <c r="AT51" s="221" t="e">
        <f>#REF!+#REF!</f>
        <v>#REF!</v>
      </c>
      <c r="AU51" s="222">
        <f t="shared" si="28"/>
        <v>1</v>
      </c>
      <c r="AV51" s="1" t="e">
        <f t="shared" si="19"/>
        <v>#REF!</v>
      </c>
    </row>
    <row r="52" spans="1:48" hidden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8" hidden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8" ht="76.5" customHeight="1" x14ac:dyDescent="0.2">
      <c r="A54" s="235" t="s">
        <v>91</v>
      </c>
      <c r="B54" s="561" t="s">
        <v>223</v>
      </c>
      <c r="C54" s="562"/>
      <c r="D54" s="562"/>
      <c r="E54" s="562"/>
      <c r="F54" s="562"/>
      <c r="G54" s="562"/>
      <c r="H54" s="562"/>
      <c r="I54" s="562"/>
      <c r="J54" s="221" t="e">
        <f>SUM(J10:J51)</f>
        <v>#REF!</v>
      </c>
      <c r="K54" s="222"/>
      <c r="L54" s="221" t="e">
        <f>SUM(L10:L51)</f>
        <v>#REF!</v>
      </c>
      <c r="M54" s="222"/>
      <c r="N54" s="221" t="e">
        <f>SUM(N10:N51)</f>
        <v>#REF!</v>
      </c>
      <c r="O54" s="222"/>
      <c r="P54" s="221" t="e">
        <f>SUM(P10:P51)</f>
        <v>#REF!</v>
      </c>
      <c r="Q54" s="222"/>
      <c r="R54" s="221" t="e">
        <f>SUM(R10:R51)</f>
        <v>#REF!</v>
      </c>
      <c r="S54" s="222"/>
      <c r="T54" s="221" t="e">
        <f>SUM(T10:T51)</f>
        <v>#REF!</v>
      </c>
      <c r="U54" s="222"/>
      <c r="V54" s="221" t="e">
        <f>SUM(V10:V51)</f>
        <v>#REF!</v>
      </c>
      <c r="W54" s="222"/>
      <c r="X54" s="221" t="e">
        <f>SUM(X10:X51)</f>
        <v>#REF!</v>
      </c>
      <c r="Y54" s="222"/>
      <c r="Z54" s="221" t="e">
        <f>SUM(Z10:Z51)</f>
        <v>#REF!</v>
      </c>
      <c r="AA54" s="222"/>
      <c r="AB54" s="221" t="e">
        <f>SUM(AB10:AB51)</f>
        <v>#REF!</v>
      </c>
      <c r="AC54" s="222"/>
      <c r="AD54" s="221" t="e">
        <f>SUM(AD10:AD51)</f>
        <v>#REF!</v>
      </c>
      <c r="AE54" s="222"/>
      <c r="AF54" s="221" t="e">
        <f>SUM(AF10:AF51)</f>
        <v>#REF!</v>
      </c>
      <c r="AG54" s="222"/>
      <c r="AH54" s="221" t="e">
        <f>SUM(AH10:AH51)</f>
        <v>#REF!</v>
      </c>
      <c r="AI54" s="222"/>
      <c r="AJ54" s="221" t="e">
        <f>SUM(AJ10:AJ51)</f>
        <v>#REF!</v>
      </c>
      <c r="AK54" s="222"/>
      <c r="AL54" s="221" t="e">
        <f>SUM(AL10:AL51)</f>
        <v>#REF!</v>
      </c>
      <c r="AM54" s="222"/>
      <c r="AN54" s="221" t="e">
        <f>SUM(AN10:AN51)</f>
        <v>#REF!</v>
      </c>
      <c r="AO54" s="222"/>
      <c r="AP54" s="221" t="e">
        <f>SUM(AP10:AP51)</f>
        <v>#REF!</v>
      </c>
      <c r="AQ54" s="222"/>
      <c r="AR54" s="221" t="e">
        <f>SUM(AR10:AR51)</f>
        <v>#REF!</v>
      </c>
      <c r="AS54" s="222"/>
      <c r="AT54" s="221" t="e">
        <f>SUM(J54:AR54)</f>
        <v>#REF!</v>
      </c>
      <c r="AU54" s="222"/>
    </row>
    <row r="55" spans="1:48" ht="76.5" hidden="1" customHeight="1" x14ac:dyDescent="0.2">
      <c r="A55" s="233" t="s">
        <v>252</v>
      </c>
      <c r="B55" s="561" t="s">
        <v>223</v>
      </c>
      <c r="C55" s="562"/>
      <c r="D55" s="562"/>
      <c r="E55" s="562"/>
      <c r="F55" s="562"/>
      <c r="G55" s="562"/>
      <c r="H55" s="562"/>
      <c r="I55" s="562"/>
      <c r="J55" s="221">
        <f>ROUND(K55*$AT55,2)</f>
        <v>0</v>
      </c>
      <c r="K55" s="222"/>
      <c r="L55" s="221">
        <f>ROUND(M55*$AT55,2)</f>
        <v>0</v>
      </c>
      <c r="M55" s="222"/>
      <c r="N55" s="221">
        <f>ROUND(O55*$AT55,2)</f>
        <v>0</v>
      </c>
      <c r="O55" s="222"/>
      <c r="P55" s="221">
        <f>ROUND(Q55*$AT55,2)</f>
        <v>0</v>
      </c>
      <c r="Q55" s="222"/>
      <c r="R55" s="221">
        <f>ROUND(S55*$AT55,2)</f>
        <v>0</v>
      </c>
      <c r="S55" s="222"/>
      <c r="T55" s="221">
        <f>ROUND(U55*$AT55,2)</f>
        <v>11879.48</v>
      </c>
      <c r="U55" s="222">
        <v>0.5</v>
      </c>
      <c r="V55" s="221">
        <f>ROUND(W55*$AT55,2)-0.01</f>
        <v>11879.47</v>
      </c>
      <c r="W55" s="222">
        <v>0.5</v>
      </c>
      <c r="X55" s="221">
        <f>ROUND(Y55*$AT55,2)</f>
        <v>0</v>
      </c>
      <c r="Y55" s="222"/>
      <c r="Z55" s="221">
        <f>ROUND(AA55*$AT55,2)</f>
        <v>0</v>
      </c>
      <c r="AA55" s="222"/>
      <c r="AB55" s="221">
        <f>ROUND(AC55*$AT55,2)</f>
        <v>0</v>
      </c>
      <c r="AC55" s="222"/>
      <c r="AD55" s="221">
        <f>ROUND(AE55*$AT55,2)</f>
        <v>0</v>
      </c>
      <c r="AE55" s="222"/>
      <c r="AF55" s="221">
        <f>ROUND(AG55*$AT55,2)</f>
        <v>0</v>
      </c>
      <c r="AG55" s="222"/>
      <c r="AH55" s="221">
        <f>ROUND(AI55*$AT55,2)</f>
        <v>0</v>
      </c>
      <c r="AI55" s="222"/>
      <c r="AJ55" s="221">
        <f>ROUND(AK55*$AT55,2)</f>
        <v>0</v>
      </c>
      <c r="AK55" s="222"/>
      <c r="AL55" s="221">
        <f>ROUND(AM55*$AT55,2)</f>
        <v>0</v>
      </c>
      <c r="AM55" s="222"/>
      <c r="AN55" s="221">
        <f>ROUND(AO55*$AT55,2)</f>
        <v>0</v>
      </c>
      <c r="AO55" s="222"/>
      <c r="AP55" s="221">
        <f>ROUND(AQ55*$AT55,2)</f>
        <v>0</v>
      </c>
      <c r="AQ55" s="222"/>
      <c r="AR55" s="221">
        <f>ROUND(AS55*$AT55,2)</f>
        <v>0</v>
      </c>
      <c r="AS55" s="222"/>
      <c r="AT55" s="221">
        <f>ROUND(SUM('Interceptor(mão-de-obra)'!L14:L22),2)</f>
        <v>23758.95</v>
      </c>
      <c r="AU55" s="222">
        <f>SUMIF($J$9:$AS$9,AU$9,J55:AS55)</f>
        <v>1</v>
      </c>
      <c r="AV55" s="1">
        <f>SUMIF($J$9:$AS$9,AT$9,J55:AS55)-AT55</f>
        <v>0</v>
      </c>
    </row>
    <row r="56" spans="1:48" ht="76.5" hidden="1" customHeight="1" x14ac:dyDescent="0.2">
      <c r="A56" s="233" t="s">
        <v>339</v>
      </c>
      <c r="B56" s="561" t="s">
        <v>223</v>
      </c>
      <c r="C56" s="562"/>
      <c r="D56" s="562"/>
      <c r="E56" s="562"/>
      <c r="F56" s="562"/>
      <c r="G56" s="562"/>
      <c r="H56" s="562"/>
      <c r="I56" s="562"/>
      <c r="J56" s="221">
        <f>ROUND(K56*$AT56,2)</f>
        <v>0</v>
      </c>
      <c r="K56" s="222"/>
      <c r="L56" s="221">
        <f>ROUND(M56*$AT56,2)</f>
        <v>0</v>
      </c>
      <c r="M56" s="222"/>
      <c r="N56" s="221">
        <f>ROUND(O56*$AT56,2)</f>
        <v>0</v>
      </c>
      <c r="O56" s="222"/>
      <c r="P56" s="221">
        <f>ROUND(Q56*$AT56,2)</f>
        <v>0</v>
      </c>
      <c r="Q56" s="222"/>
      <c r="R56" s="221">
        <f>ROUND(S56*$AT56,2)</f>
        <v>0</v>
      </c>
      <c r="S56" s="222"/>
      <c r="T56" s="221">
        <f>ROUND(U56*$AT56,2)</f>
        <v>0</v>
      </c>
      <c r="U56" s="222"/>
      <c r="V56" s="221">
        <f>ROUND(W56*$AT56,2)</f>
        <v>13738.13</v>
      </c>
      <c r="W56" s="222">
        <v>0.5</v>
      </c>
      <c r="X56" s="221">
        <f>ROUND(Y56*$AT56,2)</f>
        <v>13738.13</v>
      </c>
      <c r="Y56" s="222">
        <v>0.5</v>
      </c>
      <c r="Z56" s="221">
        <f>ROUND(AA56*$AT56,2)</f>
        <v>0</v>
      </c>
      <c r="AA56" s="222"/>
      <c r="AB56" s="221">
        <f>ROUND(AC56*$AT56,2)</f>
        <v>0</v>
      </c>
      <c r="AC56" s="222"/>
      <c r="AD56" s="221">
        <f>ROUND(AE56*$AT56,2)</f>
        <v>0</v>
      </c>
      <c r="AE56" s="222"/>
      <c r="AF56" s="221">
        <f>ROUND(AG56*$AT56,2)</f>
        <v>0</v>
      </c>
      <c r="AG56" s="222"/>
      <c r="AH56" s="221">
        <f>ROUND(AI56*$AT56,2)</f>
        <v>0</v>
      </c>
      <c r="AI56" s="222"/>
      <c r="AJ56" s="221">
        <f>ROUND(AK56*$AT56,2)</f>
        <v>0</v>
      </c>
      <c r="AK56" s="222"/>
      <c r="AL56" s="221">
        <f>ROUND(AM56*$AT56,2)</f>
        <v>0</v>
      </c>
      <c r="AM56" s="222"/>
      <c r="AN56" s="221">
        <f>ROUND(AO56*$AT56,2)</f>
        <v>0</v>
      </c>
      <c r="AO56" s="222"/>
      <c r="AP56" s="221">
        <f>ROUND(AQ56*$AT56,2)</f>
        <v>0</v>
      </c>
      <c r="AQ56" s="222"/>
      <c r="AR56" s="221">
        <f>ROUND(AS56*$AT56,2)</f>
        <v>0</v>
      </c>
      <c r="AS56" s="222"/>
      <c r="AT56" s="221">
        <f>ROUND(SUM('Interceptor(mão-de-obra)'!L28:L70),2)</f>
        <v>27476.26</v>
      </c>
      <c r="AU56" s="222">
        <f>SUMIF($J$9:$AS$9,AU$9,J56:AS56)</f>
        <v>1</v>
      </c>
      <c r="AV56" s="1">
        <f>SUMIF($J$9:$AS$9,AT$9,J56:AS56)-AT56</f>
        <v>0</v>
      </c>
    </row>
    <row r="57" spans="1:48" ht="76.5" hidden="1" customHeight="1" x14ac:dyDescent="0.2">
      <c r="A57" s="233" t="s">
        <v>190</v>
      </c>
      <c r="B57" s="561" t="s">
        <v>223</v>
      </c>
      <c r="C57" s="562"/>
      <c r="D57" s="562"/>
      <c r="E57" s="562"/>
      <c r="F57" s="562"/>
      <c r="G57" s="562"/>
      <c r="H57" s="562"/>
      <c r="I57" s="562"/>
      <c r="J57" s="221">
        <f>ROUND(K57*$AT57,2)</f>
        <v>0</v>
      </c>
      <c r="K57" s="222"/>
      <c r="L57" s="221">
        <f>ROUND(M57*$AT57,2)</f>
        <v>0</v>
      </c>
      <c r="M57" s="222"/>
      <c r="N57" s="221">
        <f>ROUND(O57*$AT57,2)</f>
        <v>0</v>
      </c>
      <c r="O57" s="222"/>
      <c r="P57" s="221">
        <f>ROUND(Q57*$AT57,2)</f>
        <v>0</v>
      </c>
      <c r="Q57" s="222"/>
      <c r="R57" s="221">
        <f>ROUND(S57*$AT57,2)</f>
        <v>0</v>
      </c>
      <c r="S57" s="222"/>
      <c r="T57" s="221">
        <f>ROUND(U57*$AT57,2)</f>
        <v>0</v>
      </c>
      <c r="U57" s="222"/>
      <c r="V57" s="221">
        <f>ROUND(W57*$AT57,2)</f>
        <v>0</v>
      </c>
      <c r="W57" s="222"/>
      <c r="X57" s="221">
        <f>ROUND(Y57*$AT57,2)</f>
        <v>25445.96</v>
      </c>
      <c r="Y57" s="222">
        <v>0.33329999999999999</v>
      </c>
      <c r="Z57" s="221">
        <f>ROUND(AA57*$AT57,2)</f>
        <v>25445.96</v>
      </c>
      <c r="AA57" s="222">
        <v>0.33329999999999999</v>
      </c>
      <c r="AB57" s="221">
        <f>ROUND(AC57*$AT57,2)</f>
        <v>25453.599999999999</v>
      </c>
      <c r="AC57" s="222">
        <v>0.33339999999999997</v>
      </c>
      <c r="AD57" s="221">
        <f>ROUND(AE57*$AT57,2)</f>
        <v>0</v>
      </c>
      <c r="AE57" s="222"/>
      <c r="AF57" s="221">
        <f>ROUND(AG57*$AT57,2)</f>
        <v>0</v>
      </c>
      <c r="AG57" s="222"/>
      <c r="AH57" s="221">
        <f>ROUND(AI57*$AT57,2)</f>
        <v>0</v>
      </c>
      <c r="AI57" s="222"/>
      <c r="AJ57" s="221">
        <f>ROUND(AK57*$AT57,2)</f>
        <v>0</v>
      </c>
      <c r="AK57" s="222"/>
      <c r="AL57" s="221">
        <f>ROUND(AM57*$AT57,2)</f>
        <v>0</v>
      </c>
      <c r="AM57" s="222"/>
      <c r="AN57" s="221">
        <f>ROUND(AO57*$AT57,2)</f>
        <v>0</v>
      </c>
      <c r="AO57" s="222"/>
      <c r="AP57" s="221">
        <f>ROUND(AQ57*$AT57,2)</f>
        <v>0</v>
      </c>
      <c r="AQ57" s="222"/>
      <c r="AR57" s="221">
        <f>ROUND(AS57*$AT57,2)</f>
        <v>0</v>
      </c>
      <c r="AS57" s="222"/>
      <c r="AT57" s="221">
        <f>ROUND(SUM('Interceptor(mão-de-obra)'!L83:L133),2)</f>
        <v>76345.52</v>
      </c>
      <c r="AU57" s="222">
        <f>SUMIF($J$9:$AS$9,AU$9,J57:AS57)</f>
        <v>1</v>
      </c>
      <c r="AV57" s="1">
        <f>SUMIF($J$9:$AS$9,AT$9,J57:AS57)-AT57</f>
        <v>0</v>
      </c>
    </row>
    <row r="58" spans="1:48" ht="76.5" hidden="1" customHeight="1" x14ac:dyDescent="0.2">
      <c r="A58" s="233" t="s">
        <v>191</v>
      </c>
      <c r="B58" s="561" t="s">
        <v>223</v>
      </c>
      <c r="C58" s="562"/>
      <c r="D58" s="562"/>
      <c r="E58" s="562"/>
      <c r="F58" s="562"/>
      <c r="G58" s="562"/>
      <c r="H58" s="562"/>
      <c r="I58" s="562"/>
      <c r="J58" s="221">
        <f>ROUND(K58*$AT58,2)</f>
        <v>0</v>
      </c>
      <c r="K58" s="222"/>
      <c r="L58" s="221">
        <f>ROUND(M58*$AT58,2)</f>
        <v>0</v>
      </c>
      <c r="M58" s="222"/>
      <c r="N58" s="221">
        <f>ROUND(O58*$AT58,2)</f>
        <v>0</v>
      </c>
      <c r="O58" s="222"/>
      <c r="P58" s="221">
        <f>ROUND(Q58*$AT58,2)</f>
        <v>0</v>
      </c>
      <c r="Q58" s="222"/>
      <c r="R58" s="221">
        <f>ROUND(S58*$AT58,2)</f>
        <v>0</v>
      </c>
      <c r="S58" s="222"/>
      <c r="T58" s="221">
        <f>ROUND(U58*$AT58,2)</f>
        <v>0</v>
      </c>
      <c r="U58" s="222"/>
      <c r="V58" s="221">
        <f>ROUND(W58*$AT58,2)</f>
        <v>0</v>
      </c>
      <c r="W58" s="222"/>
      <c r="X58" s="221">
        <f>ROUND(Y58*$AT58,2)</f>
        <v>0</v>
      </c>
      <c r="Y58" s="222"/>
      <c r="Z58" s="221">
        <f>ROUND(AA58*$AT58,2)</f>
        <v>0</v>
      </c>
      <c r="AA58" s="222"/>
      <c r="AB58" s="221">
        <f>ROUND(AC58*$AT58,2)</f>
        <v>1328.14</v>
      </c>
      <c r="AC58" s="222">
        <v>0.33329999999999999</v>
      </c>
      <c r="AD58" s="221">
        <f>ROUND(AE58*$AT58,2)</f>
        <v>1328.14</v>
      </c>
      <c r="AE58" s="222">
        <v>0.33329999999999999</v>
      </c>
      <c r="AF58" s="221">
        <f>ROUND(AG58*$AT58,2)-0.01</f>
        <v>1328.53</v>
      </c>
      <c r="AG58" s="222">
        <v>0.33339999999999997</v>
      </c>
      <c r="AH58" s="221">
        <f>ROUND(AI58*$AT58,2)</f>
        <v>0</v>
      </c>
      <c r="AI58" s="222"/>
      <c r="AJ58" s="221">
        <f>ROUND(AK58*$AT58,2)</f>
        <v>0</v>
      </c>
      <c r="AK58" s="222"/>
      <c r="AL58" s="221">
        <f>ROUND(AM58*$AT58,2)</f>
        <v>0</v>
      </c>
      <c r="AM58" s="222"/>
      <c r="AN58" s="221">
        <f>ROUND(AO58*$AT58,2)</f>
        <v>0</v>
      </c>
      <c r="AO58" s="222"/>
      <c r="AP58" s="221">
        <f>ROUND(AQ58*$AT58,2)</f>
        <v>0</v>
      </c>
      <c r="AQ58" s="222"/>
      <c r="AR58" s="221">
        <f>ROUND(AS58*$AT58,2)</f>
        <v>0</v>
      </c>
      <c r="AS58" s="222"/>
      <c r="AT58" s="221">
        <f>ROUND(SUM('Interceptor(mão-de-obra)'!L141:L163),2)</f>
        <v>3984.81</v>
      </c>
      <c r="AU58" s="222">
        <f>SUMIF($J$9:$AS$9,AU$9,J58:AS58)</f>
        <v>1</v>
      </c>
      <c r="AV58" s="1">
        <f>SUMIF($J$9:$AS$9,AT$9,J58:AS58)-AT58</f>
        <v>0</v>
      </c>
    </row>
    <row r="59" spans="1:48" ht="76.5" hidden="1" customHeight="1" x14ac:dyDescent="0.2">
      <c r="A59" s="233" t="s">
        <v>96</v>
      </c>
      <c r="B59" s="558" t="s">
        <v>223</v>
      </c>
      <c r="C59" s="559"/>
      <c r="D59" s="559"/>
      <c r="E59" s="559"/>
      <c r="F59" s="559"/>
      <c r="G59" s="559"/>
      <c r="H59" s="559"/>
      <c r="I59" s="560"/>
      <c r="J59" s="221">
        <f t="shared" ref="J59:AS59" si="30">SUM(J55:J58)</f>
        <v>0</v>
      </c>
      <c r="K59" s="222">
        <f t="shared" si="30"/>
        <v>0</v>
      </c>
      <c r="L59" s="221">
        <f t="shared" si="30"/>
        <v>0</v>
      </c>
      <c r="M59" s="222">
        <f t="shared" si="30"/>
        <v>0</v>
      </c>
      <c r="N59" s="221">
        <f t="shared" si="30"/>
        <v>0</v>
      </c>
      <c r="O59" s="222">
        <f t="shared" si="30"/>
        <v>0</v>
      </c>
      <c r="P59" s="221">
        <f t="shared" si="30"/>
        <v>0</v>
      </c>
      <c r="Q59" s="222">
        <f t="shared" si="30"/>
        <v>0</v>
      </c>
      <c r="R59" s="221">
        <f t="shared" si="30"/>
        <v>0</v>
      </c>
      <c r="S59" s="222">
        <f t="shared" si="30"/>
        <v>0</v>
      </c>
      <c r="T59" s="221">
        <f t="shared" si="30"/>
        <v>11879.48</v>
      </c>
      <c r="U59" s="222"/>
      <c r="V59" s="221">
        <f t="shared" si="30"/>
        <v>25617.599999999999</v>
      </c>
      <c r="W59" s="222"/>
      <c r="X59" s="221">
        <f t="shared" si="30"/>
        <v>39184.089999999997</v>
      </c>
      <c r="Y59" s="222"/>
      <c r="Z59" s="221">
        <f t="shared" si="30"/>
        <v>25445.96</v>
      </c>
      <c r="AA59" s="222"/>
      <c r="AB59" s="221">
        <f t="shared" si="30"/>
        <v>26781.739999999998</v>
      </c>
      <c r="AC59" s="222"/>
      <c r="AD59" s="221">
        <f t="shared" si="30"/>
        <v>1328.14</v>
      </c>
      <c r="AE59" s="222"/>
      <c r="AF59" s="221">
        <f t="shared" si="30"/>
        <v>1328.53</v>
      </c>
      <c r="AG59" s="222"/>
      <c r="AH59" s="221">
        <f t="shared" si="30"/>
        <v>0</v>
      </c>
      <c r="AI59" s="222">
        <f t="shared" si="30"/>
        <v>0</v>
      </c>
      <c r="AJ59" s="221">
        <f t="shared" si="30"/>
        <v>0</v>
      </c>
      <c r="AK59" s="222">
        <f t="shared" si="30"/>
        <v>0</v>
      </c>
      <c r="AL59" s="221">
        <f t="shared" si="30"/>
        <v>0</v>
      </c>
      <c r="AM59" s="222">
        <f t="shared" si="30"/>
        <v>0</v>
      </c>
      <c r="AN59" s="221">
        <f t="shared" si="30"/>
        <v>0</v>
      </c>
      <c r="AO59" s="222">
        <f t="shared" si="30"/>
        <v>0</v>
      </c>
      <c r="AP59" s="221">
        <f t="shared" si="30"/>
        <v>0</v>
      </c>
      <c r="AQ59" s="222">
        <f t="shared" si="30"/>
        <v>0</v>
      </c>
      <c r="AR59" s="221">
        <f t="shared" si="30"/>
        <v>0</v>
      </c>
      <c r="AS59" s="222">
        <f t="shared" si="30"/>
        <v>0</v>
      </c>
      <c r="AT59" s="221">
        <f>SUM(J59:AR59)</f>
        <v>131565.54</v>
      </c>
      <c r="AU59" s="222"/>
    </row>
    <row r="60" spans="1:48" ht="76.5" hidden="1" customHeight="1" x14ac:dyDescent="0.2">
      <c r="A60" s="233" t="s">
        <v>92</v>
      </c>
      <c r="B60" s="558" t="s">
        <v>223</v>
      </c>
      <c r="C60" s="559"/>
      <c r="D60" s="559"/>
      <c r="E60" s="559"/>
      <c r="F60" s="559"/>
      <c r="G60" s="559"/>
      <c r="H60" s="559"/>
      <c r="I60" s="560"/>
      <c r="J60" s="221" t="e">
        <f t="shared" ref="J60:AS60" si="31">J54-J59</f>
        <v>#REF!</v>
      </c>
      <c r="K60" s="222">
        <f t="shared" si="31"/>
        <v>0</v>
      </c>
      <c r="L60" s="221" t="e">
        <f t="shared" si="31"/>
        <v>#REF!</v>
      </c>
      <c r="M60" s="222">
        <f t="shared" si="31"/>
        <v>0</v>
      </c>
      <c r="N60" s="221" t="e">
        <f t="shared" si="31"/>
        <v>#REF!</v>
      </c>
      <c r="O60" s="222">
        <f t="shared" si="31"/>
        <v>0</v>
      </c>
      <c r="P60" s="221" t="e">
        <f t="shared" si="31"/>
        <v>#REF!</v>
      </c>
      <c r="Q60" s="222">
        <f t="shared" si="31"/>
        <v>0</v>
      </c>
      <c r="R60" s="221" t="e">
        <f t="shared" si="31"/>
        <v>#REF!</v>
      </c>
      <c r="S60" s="222">
        <f t="shared" si="31"/>
        <v>0</v>
      </c>
      <c r="T60" s="221" t="e">
        <f t="shared" si="31"/>
        <v>#REF!</v>
      </c>
      <c r="U60" s="222">
        <f t="shared" si="31"/>
        <v>0</v>
      </c>
      <c r="V60" s="221" t="e">
        <f t="shared" si="31"/>
        <v>#REF!</v>
      </c>
      <c r="W60" s="222">
        <f t="shared" si="31"/>
        <v>0</v>
      </c>
      <c r="X60" s="221" t="e">
        <f t="shared" si="31"/>
        <v>#REF!</v>
      </c>
      <c r="Y60" s="222">
        <f t="shared" si="31"/>
        <v>0</v>
      </c>
      <c r="Z60" s="221" t="e">
        <f t="shared" si="31"/>
        <v>#REF!</v>
      </c>
      <c r="AA60" s="222">
        <f t="shared" si="31"/>
        <v>0</v>
      </c>
      <c r="AB60" s="221" t="e">
        <f t="shared" si="31"/>
        <v>#REF!</v>
      </c>
      <c r="AC60" s="222">
        <f t="shared" si="31"/>
        <v>0</v>
      </c>
      <c r="AD60" s="221" t="e">
        <f t="shared" si="31"/>
        <v>#REF!</v>
      </c>
      <c r="AE60" s="222">
        <f t="shared" si="31"/>
        <v>0</v>
      </c>
      <c r="AF60" s="221" t="e">
        <f t="shared" si="31"/>
        <v>#REF!</v>
      </c>
      <c r="AG60" s="222">
        <f t="shared" si="31"/>
        <v>0</v>
      </c>
      <c r="AH60" s="221" t="e">
        <f t="shared" si="31"/>
        <v>#REF!</v>
      </c>
      <c r="AI60" s="222">
        <f t="shared" si="31"/>
        <v>0</v>
      </c>
      <c r="AJ60" s="221" t="e">
        <f t="shared" si="31"/>
        <v>#REF!</v>
      </c>
      <c r="AK60" s="222">
        <f t="shared" si="31"/>
        <v>0</v>
      </c>
      <c r="AL60" s="221" t="e">
        <f t="shared" si="31"/>
        <v>#REF!</v>
      </c>
      <c r="AM60" s="222">
        <f t="shared" si="31"/>
        <v>0</v>
      </c>
      <c r="AN60" s="221" t="e">
        <f t="shared" si="31"/>
        <v>#REF!</v>
      </c>
      <c r="AO60" s="222">
        <f t="shared" si="31"/>
        <v>0</v>
      </c>
      <c r="AP60" s="221" t="e">
        <f t="shared" si="31"/>
        <v>#REF!</v>
      </c>
      <c r="AQ60" s="222">
        <f t="shared" si="31"/>
        <v>0</v>
      </c>
      <c r="AR60" s="221" t="e">
        <f t="shared" si="31"/>
        <v>#REF!</v>
      </c>
      <c r="AS60" s="222">
        <f t="shared" si="31"/>
        <v>0</v>
      </c>
      <c r="AT60" s="221" t="e">
        <f>SUM(J60:AR60)</f>
        <v>#REF!</v>
      </c>
      <c r="AU60" s="222"/>
    </row>
    <row r="61" spans="1:48" ht="76.5" hidden="1" customHeight="1" x14ac:dyDescent="0.2">
      <c r="A61" s="233" t="s">
        <v>93</v>
      </c>
      <c r="B61" s="558" t="s">
        <v>223</v>
      </c>
      <c r="C61" s="559"/>
      <c r="D61" s="559"/>
      <c r="E61" s="559"/>
      <c r="F61" s="559"/>
      <c r="G61" s="559"/>
      <c r="H61" s="559"/>
      <c r="I61" s="560"/>
      <c r="J61" s="221" t="e">
        <f t="shared" ref="J61:R61" si="32">J60</f>
        <v>#REF!</v>
      </c>
      <c r="K61" s="222">
        <f t="shared" si="32"/>
        <v>0</v>
      </c>
      <c r="L61" s="221" t="e">
        <f t="shared" si="32"/>
        <v>#REF!</v>
      </c>
      <c r="M61" s="222">
        <f t="shared" si="32"/>
        <v>0</v>
      </c>
      <c r="N61" s="221" t="e">
        <f t="shared" si="32"/>
        <v>#REF!</v>
      </c>
      <c r="O61" s="222">
        <f t="shared" si="32"/>
        <v>0</v>
      </c>
      <c r="P61" s="221" t="e">
        <f t="shared" si="32"/>
        <v>#REF!</v>
      </c>
      <c r="Q61" s="222">
        <f t="shared" si="32"/>
        <v>0</v>
      </c>
      <c r="R61" s="221" t="e">
        <f t="shared" si="32"/>
        <v>#REF!</v>
      </c>
      <c r="S61" s="222"/>
      <c r="T61" s="221"/>
      <c r="U61" s="222"/>
      <c r="V61" s="221"/>
      <c r="W61" s="222"/>
      <c r="X61" s="221"/>
      <c r="Y61" s="222"/>
      <c r="Z61" s="221"/>
      <c r="AA61" s="222"/>
      <c r="AB61" s="221"/>
      <c r="AC61" s="222"/>
      <c r="AD61" s="221"/>
      <c r="AE61" s="222"/>
      <c r="AF61" s="221"/>
      <c r="AG61" s="222"/>
      <c r="AH61" s="221"/>
      <c r="AI61" s="222"/>
      <c r="AJ61" s="221"/>
      <c r="AK61" s="222"/>
      <c r="AL61" s="221"/>
      <c r="AM61" s="222"/>
      <c r="AN61" s="221"/>
      <c r="AO61" s="222"/>
      <c r="AP61" s="221"/>
      <c r="AQ61" s="222"/>
      <c r="AR61" s="221"/>
      <c r="AS61" s="222">
        <f>AS55-AS60</f>
        <v>0</v>
      </c>
      <c r="AT61" s="221" t="e">
        <f>SUM(J61:AR61)</f>
        <v>#REF!</v>
      </c>
      <c r="AU61" s="222"/>
    </row>
    <row r="62" spans="1:48" ht="76.5" hidden="1" customHeight="1" x14ac:dyDescent="0.2">
      <c r="A62" s="233" t="s">
        <v>94</v>
      </c>
      <c r="B62" s="558" t="s">
        <v>223</v>
      </c>
      <c r="C62" s="559"/>
      <c r="D62" s="559"/>
      <c r="E62" s="559"/>
      <c r="F62" s="559"/>
      <c r="G62" s="559"/>
      <c r="H62" s="559"/>
      <c r="I62" s="560"/>
      <c r="J62" s="221"/>
      <c r="K62" s="222"/>
      <c r="L62" s="221"/>
      <c r="M62" s="222"/>
      <c r="N62" s="221"/>
      <c r="O62" s="222"/>
      <c r="P62" s="221"/>
      <c r="Q62" s="222"/>
      <c r="R62" s="221"/>
      <c r="S62" s="222"/>
      <c r="T62" s="221" t="e">
        <f t="shared" ref="T62:AR62" si="33">T60</f>
        <v>#REF!</v>
      </c>
      <c r="U62" s="222">
        <f t="shared" si="33"/>
        <v>0</v>
      </c>
      <c r="V62" s="221" t="e">
        <f t="shared" si="33"/>
        <v>#REF!</v>
      </c>
      <c r="W62" s="222">
        <f t="shared" si="33"/>
        <v>0</v>
      </c>
      <c r="X62" s="221" t="e">
        <f t="shared" si="33"/>
        <v>#REF!</v>
      </c>
      <c r="Y62" s="222">
        <f t="shared" si="33"/>
        <v>0</v>
      </c>
      <c r="Z62" s="221" t="e">
        <f t="shared" si="33"/>
        <v>#REF!</v>
      </c>
      <c r="AA62" s="222">
        <f t="shared" si="33"/>
        <v>0</v>
      </c>
      <c r="AB62" s="221" t="e">
        <f t="shared" si="33"/>
        <v>#REF!</v>
      </c>
      <c r="AC62" s="222">
        <f t="shared" si="33"/>
        <v>0</v>
      </c>
      <c r="AD62" s="221" t="e">
        <f t="shared" si="33"/>
        <v>#REF!</v>
      </c>
      <c r="AE62" s="222">
        <f t="shared" si="33"/>
        <v>0</v>
      </c>
      <c r="AF62" s="221" t="e">
        <f t="shared" si="33"/>
        <v>#REF!</v>
      </c>
      <c r="AG62" s="222">
        <f t="shared" si="33"/>
        <v>0</v>
      </c>
      <c r="AH62" s="221" t="e">
        <f t="shared" si="33"/>
        <v>#REF!</v>
      </c>
      <c r="AI62" s="222">
        <f t="shared" si="33"/>
        <v>0</v>
      </c>
      <c r="AJ62" s="221" t="e">
        <f t="shared" si="33"/>
        <v>#REF!</v>
      </c>
      <c r="AK62" s="222">
        <f t="shared" si="33"/>
        <v>0</v>
      </c>
      <c r="AL62" s="221" t="e">
        <f t="shared" si="33"/>
        <v>#REF!</v>
      </c>
      <c r="AM62" s="222">
        <f t="shared" si="33"/>
        <v>0</v>
      </c>
      <c r="AN62" s="221" t="e">
        <f t="shared" si="33"/>
        <v>#REF!</v>
      </c>
      <c r="AO62" s="222">
        <f t="shared" si="33"/>
        <v>0</v>
      </c>
      <c r="AP62" s="221" t="e">
        <f t="shared" si="33"/>
        <v>#REF!</v>
      </c>
      <c r="AQ62" s="222">
        <f t="shared" si="33"/>
        <v>0</v>
      </c>
      <c r="AR62" s="221" t="e">
        <f t="shared" si="33"/>
        <v>#REF!</v>
      </c>
      <c r="AS62" s="222">
        <f>AS56-AS61</f>
        <v>0</v>
      </c>
      <c r="AT62" s="221" t="e">
        <f>SUM(J62:AR62)</f>
        <v>#REF!</v>
      </c>
      <c r="AU62" s="222"/>
    </row>
    <row r="63" spans="1:48" ht="76.5" hidden="1" customHeight="1" x14ac:dyDescent="0.2">
      <c r="A63" s="233" t="s">
        <v>95</v>
      </c>
      <c r="B63" s="558" t="s">
        <v>223</v>
      </c>
      <c r="C63" s="559"/>
      <c r="D63" s="559"/>
      <c r="E63" s="559"/>
      <c r="F63" s="559"/>
      <c r="G63" s="559"/>
      <c r="H63" s="559"/>
      <c r="I63" s="560"/>
      <c r="J63" s="221" t="e">
        <f t="shared" ref="J63:AR63" si="34">ROUND($AT$63/$AT$62*J62,2)</f>
        <v>#REF!</v>
      </c>
      <c r="K63" s="222" t="e">
        <f t="shared" si="34"/>
        <v>#REF!</v>
      </c>
      <c r="L63" s="221" t="e">
        <f t="shared" si="34"/>
        <v>#REF!</v>
      </c>
      <c r="M63" s="222" t="e">
        <f t="shared" si="34"/>
        <v>#REF!</v>
      </c>
      <c r="N63" s="221" t="e">
        <f t="shared" si="34"/>
        <v>#REF!</v>
      </c>
      <c r="O63" s="222" t="e">
        <f t="shared" si="34"/>
        <v>#REF!</v>
      </c>
      <c r="P63" s="221" t="e">
        <f t="shared" si="34"/>
        <v>#REF!</v>
      </c>
      <c r="Q63" s="222" t="e">
        <f t="shared" si="34"/>
        <v>#REF!</v>
      </c>
      <c r="R63" s="221" t="e">
        <f t="shared" si="34"/>
        <v>#REF!</v>
      </c>
      <c r="S63" s="222" t="e">
        <f t="shared" si="34"/>
        <v>#REF!</v>
      </c>
      <c r="T63" s="221" t="e">
        <f t="shared" si="34"/>
        <v>#REF!</v>
      </c>
      <c r="U63" s="222" t="e">
        <f t="shared" si="34"/>
        <v>#REF!</v>
      </c>
      <c r="V63" s="221" t="e">
        <f t="shared" si="34"/>
        <v>#REF!</v>
      </c>
      <c r="W63" s="222" t="e">
        <f t="shared" si="34"/>
        <v>#REF!</v>
      </c>
      <c r="X63" s="221" t="e">
        <f t="shared" si="34"/>
        <v>#REF!</v>
      </c>
      <c r="Y63" s="222" t="e">
        <f t="shared" si="34"/>
        <v>#REF!</v>
      </c>
      <c r="Z63" s="221" t="e">
        <f t="shared" si="34"/>
        <v>#REF!</v>
      </c>
      <c r="AA63" s="222" t="e">
        <f t="shared" si="34"/>
        <v>#REF!</v>
      </c>
      <c r="AB63" s="221" t="e">
        <f t="shared" si="34"/>
        <v>#REF!</v>
      </c>
      <c r="AC63" s="222" t="e">
        <f t="shared" si="34"/>
        <v>#REF!</v>
      </c>
      <c r="AD63" s="221" t="e">
        <f t="shared" si="34"/>
        <v>#REF!</v>
      </c>
      <c r="AE63" s="222" t="e">
        <f t="shared" si="34"/>
        <v>#REF!</v>
      </c>
      <c r="AF63" s="221" t="e">
        <f t="shared" si="34"/>
        <v>#REF!</v>
      </c>
      <c r="AG63" s="222" t="e">
        <f t="shared" si="34"/>
        <v>#REF!</v>
      </c>
      <c r="AH63" s="221" t="e">
        <f t="shared" si="34"/>
        <v>#REF!</v>
      </c>
      <c r="AI63" s="222" t="e">
        <f t="shared" si="34"/>
        <v>#REF!</v>
      </c>
      <c r="AJ63" s="221" t="e">
        <f t="shared" si="34"/>
        <v>#REF!</v>
      </c>
      <c r="AK63" s="222" t="e">
        <f t="shared" si="34"/>
        <v>#REF!</v>
      </c>
      <c r="AL63" s="221" t="e">
        <f t="shared" si="34"/>
        <v>#REF!</v>
      </c>
      <c r="AM63" s="222" t="e">
        <f t="shared" si="34"/>
        <v>#REF!</v>
      </c>
      <c r="AN63" s="221" t="e">
        <f t="shared" si="34"/>
        <v>#REF!</v>
      </c>
      <c r="AO63" s="222" t="e">
        <f t="shared" si="34"/>
        <v>#REF!</v>
      </c>
      <c r="AP63" s="221" t="e">
        <f t="shared" si="34"/>
        <v>#REF!</v>
      </c>
      <c r="AQ63" s="222" t="e">
        <f t="shared" si="34"/>
        <v>#REF!</v>
      </c>
      <c r="AR63" s="221" t="e">
        <f t="shared" si="34"/>
        <v>#REF!</v>
      </c>
      <c r="AS63" s="222">
        <f>AS57-AS62</f>
        <v>0</v>
      </c>
      <c r="AT63" s="221">
        <v>622985.6</v>
      </c>
      <c r="AU63" s="222"/>
    </row>
    <row r="64" spans="1:48" hidden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76.5" hidden="1" customHeight="1" x14ac:dyDescent="0.2">
      <c r="A65" s="233" t="s">
        <v>97</v>
      </c>
      <c r="B65" s="558" t="s">
        <v>223</v>
      </c>
      <c r="C65" s="559"/>
      <c r="D65" s="559"/>
      <c r="E65" s="559"/>
      <c r="F65" s="559"/>
      <c r="G65" s="559"/>
      <c r="H65" s="559"/>
      <c r="I65" s="560"/>
      <c r="J65" s="221" t="e">
        <f t="shared" ref="J65:AR65" si="35">J62-J63</f>
        <v>#REF!</v>
      </c>
      <c r="K65" s="222" t="e">
        <f t="shared" si="35"/>
        <v>#REF!</v>
      </c>
      <c r="L65" s="221" t="e">
        <f t="shared" si="35"/>
        <v>#REF!</v>
      </c>
      <c r="M65" s="222" t="e">
        <f t="shared" si="35"/>
        <v>#REF!</v>
      </c>
      <c r="N65" s="221" t="e">
        <f t="shared" si="35"/>
        <v>#REF!</v>
      </c>
      <c r="O65" s="222" t="e">
        <f t="shared" si="35"/>
        <v>#REF!</v>
      </c>
      <c r="P65" s="221" t="e">
        <f t="shared" si="35"/>
        <v>#REF!</v>
      </c>
      <c r="Q65" s="222" t="e">
        <f t="shared" si="35"/>
        <v>#REF!</v>
      </c>
      <c r="R65" s="221" t="e">
        <f t="shared" si="35"/>
        <v>#REF!</v>
      </c>
      <c r="S65" s="222" t="e">
        <f t="shared" si="35"/>
        <v>#REF!</v>
      </c>
      <c r="T65" s="221" t="e">
        <f t="shared" si="35"/>
        <v>#REF!</v>
      </c>
      <c r="U65" s="222" t="e">
        <f t="shared" si="35"/>
        <v>#REF!</v>
      </c>
      <c r="V65" s="221" t="e">
        <f t="shared" si="35"/>
        <v>#REF!</v>
      </c>
      <c r="W65" s="222" t="e">
        <f t="shared" si="35"/>
        <v>#REF!</v>
      </c>
      <c r="X65" s="221" t="e">
        <f t="shared" si="35"/>
        <v>#REF!</v>
      </c>
      <c r="Y65" s="222" t="e">
        <f t="shared" si="35"/>
        <v>#REF!</v>
      </c>
      <c r="Z65" s="221" t="e">
        <f t="shared" si="35"/>
        <v>#REF!</v>
      </c>
      <c r="AA65" s="222" t="e">
        <f t="shared" si="35"/>
        <v>#REF!</v>
      </c>
      <c r="AB65" s="221" t="e">
        <f t="shared" si="35"/>
        <v>#REF!</v>
      </c>
      <c r="AC65" s="222" t="e">
        <f t="shared" si="35"/>
        <v>#REF!</v>
      </c>
      <c r="AD65" s="221" t="e">
        <f t="shared" si="35"/>
        <v>#REF!</v>
      </c>
      <c r="AE65" s="222" t="e">
        <f t="shared" si="35"/>
        <v>#REF!</v>
      </c>
      <c r="AF65" s="221" t="e">
        <f t="shared" si="35"/>
        <v>#REF!</v>
      </c>
      <c r="AG65" s="222" t="e">
        <f t="shared" si="35"/>
        <v>#REF!</v>
      </c>
      <c r="AH65" s="221" t="e">
        <f t="shared" si="35"/>
        <v>#REF!</v>
      </c>
      <c r="AI65" s="222" t="e">
        <f t="shared" si="35"/>
        <v>#REF!</v>
      </c>
      <c r="AJ65" s="221" t="e">
        <f t="shared" si="35"/>
        <v>#REF!</v>
      </c>
      <c r="AK65" s="222" t="e">
        <f t="shared" si="35"/>
        <v>#REF!</v>
      </c>
      <c r="AL65" s="221" t="e">
        <f t="shared" si="35"/>
        <v>#REF!</v>
      </c>
      <c r="AM65" s="222" t="e">
        <f t="shared" si="35"/>
        <v>#REF!</v>
      </c>
      <c r="AN65" s="221" t="e">
        <f t="shared" si="35"/>
        <v>#REF!</v>
      </c>
      <c r="AO65" s="222" t="e">
        <f t="shared" si="35"/>
        <v>#REF!</v>
      </c>
      <c r="AP65" s="221" t="e">
        <f t="shared" si="35"/>
        <v>#REF!</v>
      </c>
      <c r="AQ65" s="222" t="e">
        <f t="shared" si="35"/>
        <v>#REF!</v>
      </c>
      <c r="AR65" s="221" t="e">
        <f t="shared" si="35"/>
        <v>#REF!</v>
      </c>
      <c r="AS65" s="222"/>
      <c r="AT65" s="221" t="e">
        <f t="shared" ref="AT65:AT72" si="36">SUM(J65:AR65)</f>
        <v>#REF!</v>
      </c>
      <c r="AU65" s="222"/>
    </row>
    <row r="66" spans="1:47" ht="76.5" customHeight="1" x14ac:dyDescent="0.2">
      <c r="A66" s="235" t="s">
        <v>98</v>
      </c>
      <c r="B66" s="558" t="s">
        <v>223</v>
      </c>
      <c r="C66" s="559"/>
      <c r="D66" s="559"/>
      <c r="E66" s="559"/>
      <c r="F66" s="559"/>
      <c r="G66" s="559"/>
      <c r="H66" s="559"/>
      <c r="I66" s="560"/>
      <c r="J66" s="221" t="e">
        <f t="shared" ref="J66:AR66" si="37">J65+J61</f>
        <v>#REF!</v>
      </c>
      <c r="K66" s="222" t="e">
        <f t="shared" si="37"/>
        <v>#REF!</v>
      </c>
      <c r="L66" s="221" t="e">
        <f t="shared" si="37"/>
        <v>#REF!</v>
      </c>
      <c r="M66" s="222" t="e">
        <f t="shared" si="37"/>
        <v>#REF!</v>
      </c>
      <c r="N66" s="221" t="e">
        <f t="shared" si="37"/>
        <v>#REF!</v>
      </c>
      <c r="O66" s="222" t="e">
        <f t="shared" si="37"/>
        <v>#REF!</v>
      </c>
      <c r="P66" s="221" t="e">
        <f t="shared" si="37"/>
        <v>#REF!</v>
      </c>
      <c r="Q66" s="222" t="e">
        <f t="shared" si="37"/>
        <v>#REF!</v>
      </c>
      <c r="R66" s="221" t="e">
        <f t="shared" si="37"/>
        <v>#REF!</v>
      </c>
      <c r="S66" s="222" t="e">
        <f t="shared" si="37"/>
        <v>#REF!</v>
      </c>
      <c r="T66" s="221" t="e">
        <f t="shared" si="37"/>
        <v>#REF!</v>
      </c>
      <c r="U66" s="222" t="e">
        <f t="shared" si="37"/>
        <v>#REF!</v>
      </c>
      <c r="V66" s="221" t="e">
        <f t="shared" si="37"/>
        <v>#REF!</v>
      </c>
      <c r="W66" s="222" t="e">
        <f t="shared" si="37"/>
        <v>#REF!</v>
      </c>
      <c r="X66" s="221" t="e">
        <f t="shared" si="37"/>
        <v>#REF!</v>
      </c>
      <c r="Y66" s="222" t="e">
        <f t="shared" si="37"/>
        <v>#REF!</v>
      </c>
      <c r="Z66" s="221" t="e">
        <f t="shared" si="37"/>
        <v>#REF!</v>
      </c>
      <c r="AA66" s="222" t="e">
        <f t="shared" si="37"/>
        <v>#REF!</v>
      </c>
      <c r="AB66" s="221" t="e">
        <f t="shared" si="37"/>
        <v>#REF!</v>
      </c>
      <c r="AC66" s="222" t="e">
        <f t="shared" si="37"/>
        <v>#REF!</v>
      </c>
      <c r="AD66" s="221" t="e">
        <f t="shared" si="37"/>
        <v>#REF!</v>
      </c>
      <c r="AE66" s="222" t="e">
        <f t="shared" si="37"/>
        <v>#REF!</v>
      </c>
      <c r="AF66" s="221" t="e">
        <f t="shared" si="37"/>
        <v>#REF!</v>
      </c>
      <c r="AG66" s="222" t="e">
        <f t="shared" si="37"/>
        <v>#REF!</v>
      </c>
      <c r="AH66" s="221" t="e">
        <f t="shared" si="37"/>
        <v>#REF!</v>
      </c>
      <c r="AI66" s="222" t="e">
        <f t="shared" si="37"/>
        <v>#REF!</v>
      </c>
      <c r="AJ66" s="221" t="e">
        <f t="shared" si="37"/>
        <v>#REF!</v>
      </c>
      <c r="AK66" s="222" t="e">
        <f t="shared" si="37"/>
        <v>#REF!</v>
      </c>
      <c r="AL66" s="221" t="e">
        <f t="shared" si="37"/>
        <v>#REF!</v>
      </c>
      <c r="AM66" s="222" t="e">
        <f t="shared" si="37"/>
        <v>#REF!</v>
      </c>
      <c r="AN66" s="221" t="e">
        <f t="shared" si="37"/>
        <v>#REF!</v>
      </c>
      <c r="AO66" s="222" t="e">
        <f t="shared" si="37"/>
        <v>#REF!</v>
      </c>
      <c r="AP66" s="221" t="e">
        <f t="shared" si="37"/>
        <v>#REF!</v>
      </c>
      <c r="AQ66" s="222" t="e">
        <f t="shared" si="37"/>
        <v>#REF!</v>
      </c>
      <c r="AR66" s="221" t="e">
        <f t="shared" si="37"/>
        <v>#REF!</v>
      </c>
      <c r="AS66" s="222"/>
      <c r="AT66" s="221" t="e">
        <f t="shared" si="36"/>
        <v>#REF!</v>
      </c>
      <c r="AU66" s="222"/>
    </row>
    <row r="67" spans="1:47" ht="76.5" hidden="1" customHeight="1" x14ac:dyDescent="0.2">
      <c r="A67" s="235" t="s">
        <v>100</v>
      </c>
      <c r="B67" s="558" t="s">
        <v>223</v>
      </c>
      <c r="C67" s="559"/>
      <c r="D67" s="559"/>
      <c r="E67" s="559"/>
      <c r="F67" s="559"/>
      <c r="G67" s="559"/>
      <c r="H67" s="559"/>
      <c r="I67" s="560"/>
      <c r="J67" s="221">
        <f>SUM(J59:Q59)</f>
        <v>0</v>
      </c>
      <c r="K67" s="222"/>
      <c r="L67" s="221"/>
      <c r="M67" s="222"/>
      <c r="N67" s="221"/>
      <c r="O67" s="222"/>
      <c r="P67" s="221"/>
      <c r="Q67" s="222"/>
      <c r="R67" s="221"/>
      <c r="S67" s="222"/>
      <c r="T67" s="221">
        <f>SUM(T59:X59)</f>
        <v>76681.17</v>
      </c>
      <c r="U67" s="222"/>
      <c r="V67" s="221"/>
      <c r="W67" s="222"/>
      <c r="X67" s="221"/>
      <c r="Y67" s="222"/>
      <c r="Z67" s="221">
        <f>SUM(Z59:AG59)</f>
        <v>54884.369999999995</v>
      </c>
      <c r="AA67" s="222"/>
      <c r="AB67" s="221"/>
      <c r="AC67" s="222"/>
      <c r="AD67" s="221"/>
      <c r="AE67" s="222"/>
      <c r="AF67" s="221"/>
      <c r="AG67" s="222"/>
      <c r="AH67" s="221">
        <f>SUM(AH59:AO59)</f>
        <v>0</v>
      </c>
      <c r="AI67" s="222"/>
      <c r="AJ67" s="221"/>
      <c r="AK67" s="222"/>
      <c r="AL67" s="221"/>
      <c r="AM67" s="222"/>
      <c r="AN67" s="221"/>
      <c r="AO67" s="222"/>
      <c r="AP67" s="221">
        <f>SUM(AP59:AR59)</f>
        <v>0</v>
      </c>
      <c r="AQ67" s="222"/>
      <c r="AR67" s="221"/>
      <c r="AS67" s="222"/>
      <c r="AT67" s="221">
        <f t="shared" si="36"/>
        <v>131565.53999999998</v>
      </c>
      <c r="AU67" s="222"/>
    </row>
    <row r="68" spans="1:47" ht="76.5" hidden="1" customHeight="1" x14ac:dyDescent="0.2">
      <c r="A68" s="235" t="s">
        <v>101</v>
      </c>
      <c r="B68" s="558" t="s">
        <v>223</v>
      </c>
      <c r="C68" s="559"/>
      <c r="D68" s="559"/>
      <c r="E68" s="559"/>
      <c r="F68" s="559"/>
      <c r="G68" s="559"/>
      <c r="H68" s="559"/>
      <c r="I68" s="560"/>
      <c r="J68" s="221" t="e">
        <f>SUM(J63:Q63)</f>
        <v>#REF!</v>
      </c>
      <c r="K68" s="222"/>
      <c r="L68" s="221"/>
      <c r="M68" s="222"/>
      <c r="N68" s="221"/>
      <c r="O68" s="222"/>
      <c r="P68" s="221"/>
      <c r="Q68" s="222"/>
      <c r="R68" s="221"/>
      <c r="S68" s="222"/>
      <c r="T68" s="221" t="e">
        <f>SUM(T63:Y63)</f>
        <v>#REF!</v>
      </c>
      <c r="U68" s="222"/>
      <c r="V68" s="221"/>
      <c r="W68" s="222"/>
      <c r="X68" s="221"/>
      <c r="Y68" s="222"/>
      <c r="Z68" s="221" t="e">
        <f>SUM(Z63:AG63)</f>
        <v>#REF!</v>
      </c>
      <c r="AA68" s="222"/>
      <c r="AB68" s="221"/>
      <c r="AC68" s="222"/>
      <c r="AD68" s="221"/>
      <c r="AE68" s="222"/>
      <c r="AF68" s="221"/>
      <c r="AG68" s="222"/>
      <c r="AH68" s="221" t="e">
        <f>SUM(AH63:AO63)</f>
        <v>#REF!</v>
      </c>
      <c r="AI68" s="222"/>
      <c r="AJ68" s="221"/>
      <c r="AK68" s="222"/>
      <c r="AL68" s="221"/>
      <c r="AM68" s="222"/>
      <c r="AN68" s="221"/>
      <c r="AO68" s="222"/>
      <c r="AP68" s="221" t="e">
        <f>SUM(AP63:AR63)</f>
        <v>#REF!</v>
      </c>
      <c r="AQ68" s="222"/>
      <c r="AR68" s="221"/>
      <c r="AS68" s="222"/>
      <c r="AT68" s="221" t="e">
        <f t="shared" si="36"/>
        <v>#REF!</v>
      </c>
      <c r="AU68" s="222"/>
    </row>
    <row r="69" spans="1:47" ht="76.5" hidden="1" customHeight="1" x14ac:dyDescent="0.2">
      <c r="A69" s="235" t="s">
        <v>102</v>
      </c>
      <c r="B69" s="558" t="s">
        <v>223</v>
      </c>
      <c r="C69" s="559"/>
      <c r="D69" s="559"/>
      <c r="E69" s="559"/>
      <c r="F69" s="559"/>
      <c r="G69" s="559"/>
      <c r="H69" s="559"/>
      <c r="I69" s="560"/>
      <c r="J69" s="221">
        <f t="shared" ref="J69:T69" si="38">SUM(J10:J13)-J59</f>
        <v>0</v>
      </c>
      <c r="K69" s="222">
        <f t="shared" si="38"/>
        <v>0</v>
      </c>
      <c r="L69" s="221">
        <f t="shared" si="38"/>
        <v>0</v>
      </c>
      <c r="M69" s="222">
        <f t="shared" si="38"/>
        <v>0</v>
      </c>
      <c r="N69" s="221">
        <f t="shared" si="38"/>
        <v>0</v>
      </c>
      <c r="O69" s="222">
        <f t="shared" si="38"/>
        <v>0</v>
      </c>
      <c r="P69" s="221">
        <f t="shared" si="38"/>
        <v>0</v>
      </c>
      <c r="Q69" s="222">
        <f t="shared" si="38"/>
        <v>0</v>
      </c>
      <c r="R69" s="221">
        <f t="shared" si="38"/>
        <v>0</v>
      </c>
      <c r="S69" s="222">
        <f t="shared" si="38"/>
        <v>0</v>
      </c>
      <c r="T69" s="221">
        <f t="shared" si="38"/>
        <v>8578</v>
      </c>
      <c r="U69" s="222"/>
      <c r="V69" s="221">
        <f>SUM(V10:V13)-V59</f>
        <v>8578</v>
      </c>
      <c r="W69" s="222"/>
      <c r="X69" s="221">
        <f>SUM(X10:X13)-X59</f>
        <v>41976.920000000013</v>
      </c>
      <c r="Y69" s="222"/>
      <c r="Z69" s="221">
        <f>SUM(Z10:Z13)-Z59</f>
        <v>41976.920000000006</v>
      </c>
      <c r="AA69" s="222"/>
      <c r="AB69" s="221">
        <f>SUM(AB10:AB13)-AB59</f>
        <v>82595.200000000012</v>
      </c>
      <c r="AC69" s="222"/>
      <c r="AD69" s="221">
        <f>SUM(AD10:AD13)-AD59</f>
        <v>40605.68</v>
      </c>
      <c r="AE69" s="222"/>
      <c r="AF69" s="221">
        <f>SUM(AF10:AF13)-AF59</f>
        <v>40617.870000000003</v>
      </c>
      <c r="AG69" s="222"/>
      <c r="AH69" s="221">
        <f t="shared" ref="AH69:AR69" si="39">SUM(AH10:AH13)-AH59</f>
        <v>0</v>
      </c>
      <c r="AI69" s="222">
        <f t="shared" si="39"/>
        <v>0</v>
      </c>
      <c r="AJ69" s="221">
        <f t="shared" si="39"/>
        <v>0</v>
      </c>
      <c r="AK69" s="222">
        <f t="shared" si="39"/>
        <v>0</v>
      </c>
      <c r="AL69" s="221">
        <f t="shared" si="39"/>
        <v>0</v>
      </c>
      <c r="AM69" s="222">
        <f t="shared" si="39"/>
        <v>0</v>
      </c>
      <c r="AN69" s="221">
        <f t="shared" si="39"/>
        <v>0</v>
      </c>
      <c r="AO69" s="222">
        <f t="shared" si="39"/>
        <v>0</v>
      </c>
      <c r="AP69" s="221">
        <f t="shared" si="39"/>
        <v>0</v>
      </c>
      <c r="AQ69" s="222">
        <f t="shared" si="39"/>
        <v>0</v>
      </c>
      <c r="AR69" s="221">
        <f t="shared" si="39"/>
        <v>0</v>
      </c>
      <c r="AS69" s="222"/>
      <c r="AT69" s="221">
        <f t="shared" si="36"/>
        <v>264928.59000000003</v>
      </c>
      <c r="AU69" s="222"/>
    </row>
    <row r="70" spans="1:47" ht="76.5" hidden="1" customHeight="1" x14ac:dyDescent="0.2">
      <c r="A70" s="235" t="s">
        <v>103</v>
      </c>
      <c r="B70" s="558" t="s">
        <v>223</v>
      </c>
      <c r="C70" s="559"/>
      <c r="D70" s="559"/>
      <c r="E70" s="559"/>
      <c r="F70" s="559"/>
      <c r="G70" s="559"/>
      <c r="H70" s="559"/>
      <c r="I70" s="560"/>
      <c r="J70" s="221">
        <f>SUM(J69:Q69)</f>
        <v>0</v>
      </c>
      <c r="K70" s="222"/>
      <c r="L70" s="221"/>
      <c r="M70" s="222"/>
      <c r="N70" s="221"/>
      <c r="O70" s="222"/>
      <c r="P70" s="221"/>
      <c r="Q70" s="222"/>
      <c r="R70" s="221">
        <f>SUM(R69:Y69)</f>
        <v>59132.920000000013</v>
      </c>
      <c r="S70" s="222"/>
      <c r="T70" s="221"/>
      <c r="U70" s="222"/>
      <c r="V70" s="221"/>
      <c r="W70" s="222"/>
      <c r="X70" s="221"/>
      <c r="Y70" s="222"/>
      <c r="Z70" s="221">
        <f>SUM(Z69:AG69)</f>
        <v>205795.67</v>
      </c>
      <c r="AA70" s="222"/>
      <c r="AB70" s="221"/>
      <c r="AC70" s="222"/>
      <c r="AD70" s="221"/>
      <c r="AE70" s="222"/>
      <c r="AF70" s="221"/>
      <c r="AG70" s="222"/>
      <c r="AH70" s="221">
        <f>SUM(AH69:AO69)</f>
        <v>0</v>
      </c>
      <c r="AI70" s="222"/>
      <c r="AJ70" s="221"/>
      <c r="AK70" s="222"/>
      <c r="AL70" s="221"/>
      <c r="AM70" s="222"/>
      <c r="AN70" s="221"/>
      <c r="AO70" s="222"/>
      <c r="AP70" s="221">
        <f>SUM(AP69:AS69)</f>
        <v>0</v>
      </c>
      <c r="AQ70" s="222"/>
      <c r="AR70" s="221"/>
      <c r="AS70" s="222"/>
      <c r="AT70" s="221">
        <f t="shared" si="36"/>
        <v>264928.59000000003</v>
      </c>
      <c r="AU70" s="222"/>
    </row>
    <row r="71" spans="1:47" ht="76.5" hidden="1" customHeight="1" x14ac:dyDescent="0.2">
      <c r="A71" s="235" t="s">
        <v>104</v>
      </c>
      <c r="B71" s="558" t="s">
        <v>223</v>
      </c>
      <c r="C71" s="559"/>
      <c r="D71" s="559"/>
      <c r="E71" s="559"/>
      <c r="F71" s="559"/>
      <c r="G71" s="559"/>
      <c r="H71" s="559"/>
      <c r="I71" s="560"/>
      <c r="J71" s="221" t="e">
        <f>SUM(J66:Q66)-J70</f>
        <v>#REF!</v>
      </c>
      <c r="K71" s="222"/>
      <c r="L71" s="221"/>
      <c r="M71" s="222"/>
      <c r="N71" s="221"/>
      <c r="O71" s="222"/>
      <c r="P71" s="221"/>
      <c r="Q71" s="222"/>
      <c r="R71" s="221" t="e">
        <f>SUM(R66:Y66)-R70</f>
        <v>#REF!</v>
      </c>
      <c r="S71" s="222"/>
      <c r="T71" s="221"/>
      <c r="U71" s="222"/>
      <c r="V71" s="221"/>
      <c r="W71" s="222"/>
      <c r="X71" s="221"/>
      <c r="Y71" s="222"/>
      <c r="Z71" s="221" t="e">
        <f>SUM(Z66:AG66)-Z70</f>
        <v>#REF!</v>
      </c>
      <c r="AA71" s="222"/>
      <c r="AB71" s="221"/>
      <c r="AC71" s="222"/>
      <c r="AD71" s="221"/>
      <c r="AE71" s="222"/>
      <c r="AF71" s="221"/>
      <c r="AG71" s="222"/>
      <c r="AH71" s="221" t="e">
        <f>SUM(AH66:AO66)-AH70</f>
        <v>#REF!</v>
      </c>
      <c r="AI71" s="222"/>
      <c r="AJ71" s="221"/>
      <c r="AK71" s="222"/>
      <c r="AL71" s="221"/>
      <c r="AM71" s="222"/>
      <c r="AN71" s="221"/>
      <c r="AO71" s="222"/>
      <c r="AP71" s="221" t="e">
        <f>SUM(AP66:AR66)-AP70</f>
        <v>#REF!</v>
      </c>
      <c r="AQ71" s="222"/>
      <c r="AR71" s="221"/>
      <c r="AS71" s="222"/>
      <c r="AT71" s="221" t="e">
        <f t="shared" si="36"/>
        <v>#REF!</v>
      </c>
      <c r="AU71" s="222"/>
    </row>
    <row r="72" spans="1:47" ht="76.5" customHeight="1" x14ac:dyDescent="0.2">
      <c r="A72" s="235" t="s">
        <v>99</v>
      </c>
      <c r="B72" s="558" t="s">
        <v>223</v>
      </c>
      <c r="C72" s="559"/>
      <c r="D72" s="559"/>
      <c r="E72" s="559"/>
      <c r="F72" s="559"/>
      <c r="G72" s="559"/>
      <c r="H72" s="559"/>
      <c r="I72" s="560"/>
      <c r="J72" s="221" t="e">
        <f t="shared" ref="J72:AR72" si="40">J63+J59</f>
        <v>#REF!</v>
      </c>
      <c r="K72" s="222" t="e">
        <f t="shared" si="40"/>
        <v>#REF!</v>
      </c>
      <c r="L72" s="221" t="e">
        <f t="shared" si="40"/>
        <v>#REF!</v>
      </c>
      <c r="M72" s="222" t="e">
        <f t="shared" si="40"/>
        <v>#REF!</v>
      </c>
      <c r="N72" s="221" t="e">
        <f t="shared" si="40"/>
        <v>#REF!</v>
      </c>
      <c r="O72" s="222" t="e">
        <f t="shared" si="40"/>
        <v>#REF!</v>
      </c>
      <c r="P72" s="221" t="e">
        <f t="shared" si="40"/>
        <v>#REF!</v>
      </c>
      <c r="Q72" s="222" t="e">
        <f t="shared" si="40"/>
        <v>#REF!</v>
      </c>
      <c r="R72" s="221" t="e">
        <f t="shared" si="40"/>
        <v>#REF!</v>
      </c>
      <c r="S72" s="222" t="e">
        <f t="shared" si="40"/>
        <v>#REF!</v>
      </c>
      <c r="T72" s="221" t="e">
        <f t="shared" si="40"/>
        <v>#REF!</v>
      </c>
      <c r="U72" s="222" t="e">
        <f t="shared" si="40"/>
        <v>#REF!</v>
      </c>
      <c r="V72" s="221" t="e">
        <f t="shared" si="40"/>
        <v>#REF!</v>
      </c>
      <c r="W72" s="222" t="e">
        <f t="shared" si="40"/>
        <v>#REF!</v>
      </c>
      <c r="X72" s="221" t="e">
        <f t="shared" si="40"/>
        <v>#REF!</v>
      </c>
      <c r="Y72" s="222" t="e">
        <f t="shared" si="40"/>
        <v>#REF!</v>
      </c>
      <c r="Z72" s="221" t="e">
        <f t="shared" si="40"/>
        <v>#REF!</v>
      </c>
      <c r="AA72" s="222" t="e">
        <f t="shared" si="40"/>
        <v>#REF!</v>
      </c>
      <c r="AB72" s="221" t="e">
        <f t="shared" si="40"/>
        <v>#REF!</v>
      </c>
      <c r="AC72" s="222" t="e">
        <f t="shared" si="40"/>
        <v>#REF!</v>
      </c>
      <c r="AD72" s="221" t="e">
        <f t="shared" si="40"/>
        <v>#REF!</v>
      </c>
      <c r="AE72" s="222" t="e">
        <f t="shared" si="40"/>
        <v>#REF!</v>
      </c>
      <c r="AF72" s="221" t="e">
        <f t="shared" si="40"/>
        <v>#REF!</v>
      </c>
      <c r="AG72" s="222" t="e">
        <f t="shared" si="40"/>
        <v>#REF!</v>
      </c>
      <c r="AH72" s="221" t="e">
        <f t="shared" si="40"/>
        <v>#REF!</v>
      </c>
      <c r="AI72" s="222" t="e">
        <f t="shared" si="40"/>
        <v>#REF!</v>
      </c>
      <c r="AJ72" s="221" t="e">
        <f t="shared" si="40"/>
        <v>#REF!</v>
      </c>
      <c r="AK72" s="222" t="e">
        <f t="shared" si="40"/>
        <v>#REF!</v>
      </c>
      <c r="AL72" s="221" t="e">
        <f t="shared" si="40"/>
        <v>#REF!</v>
      </c>
      <c r="AM72" s="222" t="e">
        <f t="shared" si="40"/>
        <v>#REF!</v>
      </c>
      <c r="AN72" s="221" t="e">
        <f t="shared" si="40"/>
        <v>#REF!</v>
      </c>
      <c r="AO72" s="222" t="e">
        <f t="shared" si="40"/>
        <v>#REF!</v>
      </c>
      <c r="AP72" s="221" t="e">
        <f t="shared" si="40"/>
        <v>#REF!</v>
      </c>
      <c r="AQ72" s="222" t="e">
        <f t="shared" si="40"/>
        <v>#REF!</v>
      </c>
      <c r="AR72" s="221" t="e">
        <f t="shared" si="40"/>
        <v>#REF!</v>
      </c>
      <c r="AS72" s="222"/>
      <c r="AT72" s="221" t="e">
        <f t="shared" si="36"/>
        <v>#REF!</v>
      </c>
      <c r="AU72" s="222"/>
    </row>
  </sheetData>
  <mergeCells count="88">
    <mergeCell ref="A1:AU1"/>
    <mergeCell ref="B10:I10"/>
    <mergeCell ref="AR8:AS8"/>
    <mergeCell ref="AB8:AC8"/>
    <mergeCell ref="AD8:AE8"/>
    <mergeCell ref="AT8:AU8"/>
    <mergeCell ref="A6:AU6"/>
    <mergeCell ref="A5:AU5"/>
    <mergeCell ref="X8:Y8"/>
    <mergeCell ref="Z8:AA8"/>
    <mergeCell ref="A2:AU2"/>
    <mergeCell ref="T8:U8"/>
    <mergeCell ref="J8:K8"/>
    <mergeCell ref="L8:M8"/>
    <mergeCell ref="B8:C8"/>
    <mergeCell ref="A4:AU4"/>
    <mergeCell ref="B41:I41"/>
    <mergeCell ref="B28:I28"/>
    <mergeCell ref="B33:I33"/>
    <mergeCell ref="B34:I34"/>
    <mergeCell ref="B29:I29"/>
    <mergeCell ref="B30:I30"/>
    <mergeCell ref="B38:I38"/>
    <mergeCell ref="B39:I39"/>
    <mergeCell ref="B36:I36"/>
    <mergeCell ref="B37:I37"/>
    <mergeCell ref="B32:I32"/>
    <mergeCell ref="B27:I27"/>
    <mergeCell ref="B26:I26"/>
    <mergeCell ref="B40:I40"/>
    <mergeCell ref="B31:I31"/>
    <mergeCell ref="B35:I35"/>
    <mergeCell ref="B13:I13"/>
    <mergeCell ref="D8:E8"/>
    <mergeCell ref="B25:I25"/>
    <mergeCell ref="B21:I21"/>
    <mergeCell ref="B23:I23"/>
    <mergeCell ref="B24:I24"/>
    <mergeCell ref="F8:G8"/>
    <mergeCell ref="H8:I8"/>
    <mergeCell ref="B19:I19"/>
    <mergeCell ref="B22:I22"/>
    <mergeCell ref="B17:I17"/>
    <mergeCell ref="B18:I18"/>
    <mergeCell ref="B14:I14"/>
    <mergeCell ref="B16:I16"/>
    <mergeCell ref="B20:I20"/>
    <mergeCell ref="B15:I15"/>
    <mergeCell ref="AH8:AI8"/>
    <mergeCell ref="AJ8:AK8"/>
    <mergeCell ref="AL8:AM8"/>
    <mergeCell ref="AN8:AO8"/>
    <mergeCell ref="AP8:AQ8"/>
    <mergeCell ref="AF8:AG8"/>
    <mergeCell ref="V8:W8"/>
    <mergeCell ref="R8:S8"/>
    <mergeCell ref="N8:O8"/>
    <mergeCell ref="P8:Q8"/>
    <mergeCell ref="B51:I51"/>
    <mergeCell ref="B46:I46"/>
    <mergeCell ref="B47:I47"/>
    <mergeCell ref="B48:I48"/>
    <mergeCell ref="B49:I49"/>
    <mergeCell ref="B50:I50"/>
    <mergeCell ref="B11:I11"/>
    <mergeCell ref="B12:I12"/>
    <mergeCell ref="B63:I63"/>
    <mergeCell ref="B42:I42"/>
    <mergeCell ref="B61:I61"/>
    <mergeCell ref="B59:I59"/>
    <mergeCell ref="B57:I57"/>
    <mergeCell ref="B56:I56"/>
    <mergeCell ref="B60:I60"/>
    <mergeCell ref="B45:I45"/>
    <mergeCell ref="B43:I43"/>
    <mergeCell ref="B44:I44"/>
    <mergeCell ref="B62:I62"/>
    <mergeCell ref="B58:I58"/>
    <mergeCell ref="B55:I55"/>
    <mergeCell ref="B54:I54"/>
    <mergeCell ref="B72:I72"/>
    <mergeCell ref="B65:I65"/>
    <mergeCell ref="B66:I66"/>
    <mergeCell ref="B67:I67"/>
    <mergeCell ref="B69:I69"/>
    <mergeCell ref="B68:I68"/>
    <mergeCell ref="B70:I70"/>
    <mergeCell ref="B71:I71"/>
  </mergeCells>
  <phoneticPr fontId="0" type="noConversion"/>
  <conditionalFormatting sqref="AV10:AV51 AV54:AV63 AV65:AV72">
    <cfRule type="cellIs" dxfId="0" priority="1" stopIfTrue="1" operator="notEqual">
      <formula>0</formula>
    </cfRule>
  </conditionalFormatting>
  <pageMargins left="0.35" right="0.19" top="0.78" bottom="0.22" header="0.33" footer="0.17"/>
  <pageSetup paperSize="9" scale="75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>
              <from>
                <xdr:col>0</xdr:col>
                <xdr:colOff>438150</xdr:colOff>
                <xdr:row>0</xdr:row>
                <xdr:rowOff>123825</xdr:rowOff>
              </from>
              <to>
                <xdr:col>1</xdr:col>
                <xdr:colOff>171450</xdr:colOff>
                <xdr:row>4</xdr:row>
                <xdr:rowOff>9525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CDraw" shapeId="2052" r:id="rId6">
          <objectPr defaultSize="0" autoPict="0" r:id="rId7">
            <anchor moveWithCells="1" sizeWithCells="1">
              <from>
                <xdr:col>42</xdr:col>
                <xdr:colOff>171450</xdr:colOff>
                <xdr:row>0</xdr:row>
                <xdr:rowOff>190500</xdr:rowOff>
              </from>
              <to>
                <xdr:col>46</xdr:col>
                <xdr:colOff>38100</xdr:colOff>
                <xdr:row>2</xdr:row>
                <xdr:rowOff>76200</xdr:rowOff>
              </to>
            </anchor>
          </objectPr>
        </oleObject>
      </mc:Choice>
      <mc:Fallback>
        <oleObject progId="CDraw" shapeId="205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showGridLines="0" topLeftCell="A16" workbookViewId="0">
      <selection activeCell="O37" sqref="O37"/>
    </sheetView>
  </sheetViews>
  <sheetFormatPr defaultRowHeight="12.75" x14ac:dyDescent="0.2"/>
  <cols>
    <col min="1" max="2" width="9.140625" style="1"/>
    <col min="3" max="8" width="12.140625" style="1" customWidth="1"/>
    <col min="9" max="16384" width="9.140625" style="1"/>
  </cols>
  <sheetData>
    <row r="2" spans="2:8" ht="13.5" thickBot="1" x14ac:dyDescent="0.25"/>
    <row r="3" spans="2:8" ht="18" customHeight="1" x14ac:dyDescent="0.2">
      <c r="B3" s="223" t="s">
        <v>38</v>
      </c>
      <c r="C3" s="224" t="s">
        <v>205</v>
      </c>
      <c r="D3" s="224" t="s">
        <v>206</v>
      </c>
      <c r="E3" s="224" t="s">
        <v>207</v>
      </c>
      <c r="F3" s="224" t="s">
        <v>208</v>
      </c>
      <c r="G3" s="224" t="s">
        <v>209</v>
      </c>
      <c r="H3" s="225" t="s">
        <v>210</v>
      </c>
    </row>
    <row r="4" spans="2:8" ht="18" customHeight="1" x14ac:dyDescent="0.2">
      <c r="B4" s="226">
        <v>1</v>
      </c>
      <c r="C4" s="4"/>
      <c r="D4" s="4"/>
      <c r="E4" s="4"/>
      <c r="F4" s="4"/>
      <c r="G4" s="4"/>
      <c r="H4" s="227"/>
    </row>
    <row r="5" spans="2:8" ht="18" customHeight="1" x14ac:dyDescent="0.2">
      <c r="B5" s="226">
        <v>2</v>
      </c>
      <c r="C5" s="4"/>
      <c r="D5" s="4"/>
      <c r="E5" s="4"/>
      <c r="F5" s="4"/>
      <c r="G5" s="4">
        <v>444984.96</v>
      </c>
      <c r="H5" s="227"/>
    </row>
    <row r="6" spans="2:8" ht="18" customHeight="1" thickBot="1" x14ac:dyDescent="0.25">
      <c r="B6" s="228" t="s">
        <v>200</v>
      </c>
      <c r="C6" s="229" t="str">
        <f t="shared" ref="C6:H6" si="0">IF(SUM(C4:C5)=0,"",SUM(C4:C5))</f>
        <v/>
      </c>
      <c r="D6" s="229" t="str">
        <f t="shared" si="0"/>
        <v/>
      </c>
      <c r="E6" s="229" t="str">
        <f t="shared" si="0"/>
        <v/>
      </c>
      <c r="F6" s="229" t="str">
        <f t="shared" si="0"/>
        <v/>
      </c>
      <c r="G6" s="229">
        <f t="shared" si="0"/>
        <v>444984.96</v>
      </c>
      <c r="H6" s="230" t="str">
        <f t="shared" si="0"/>
        <v/>
      </c>
    </row>
    <row r="7" spans="2:8" ht="13.5" thickBot="1" x14ac:dyDescent="0.25"/>
    <row r="8" spans="2:8" ht="18" customHeight="1" x14ac:dyDescent="0.2">
      <c r="B8" s="223" t="s">
        <v>38</v>
      </c>
      <c r="C8" s="224" t="s">
        <v>211</v>
      </c>
      <c r="D8" s="224" t="s">
        <v>212</v>
      </c>
      <c r="E8" s="224" t="s">
        <v>213</v>
      </c>
      <c r="F8" s="224" t="s">
        <v>214</v>
      </c>
      <c r="G8" s="224" t="s">
        <v>215</v>
      </c>
      <c r="H8" s="225" t="s">
        <v>216</v>
      </c>
    </row>
    <row r="9" spans="2:8" ht="18" customHeight="1" x14ac:dyDescent="0.2">
      <c r="B9" s="226">
        <v>1</v>
      </c>
      <c r="C9" s="4"/>
      <c r="D9" s="4"/>
      <c r="E9" s="4">
        <v>59132.92</v>
      </c>
      <c r="F9" s="4"/>
      <c r="G9" s="4"/>
      <c r="H9" s="227"/>
    </row>
    <row r="10" spans="2:8" ht="18" customHeight="1" x14ac:dyDescent="0.2">
      <c r="B10" s="226">
        <v>2</v>
      </c>
      <c r="C10" s="4"/>
      <c r="D10" s="4"/>
      <c r="E10" s="4">
        <v>613656.59</v>
      </c>
      <c r="F10" s="4"/>
      <c r="G10" s="4"/>
      <c r="H10" s="227"/>
    </row>
    <row r="11" spans="2:8" ht="18" customHeight="1" thickBot="1" x14ac:dyDescent="0.25">
      <c r="B11" s="228" t="s">
        <v>200</v>
      </c>
      <c r="C11" s="229" t="str">
        <f t="shared" ref="C11:H11" si="1">IF(SUM(C9:C10)=0,"",SUM(C9:C10))</f>
        <v/>
      </c>
      <c r="D11" s="229" t="str">
        <f t="shared" si="1"/>
        <v/>
      </c>
      <c r="E11" s="229">
        <f t="shared" si="1"/>
        <v>672789.51</v>
      </c>
      <c r="F11" s="229" t="str">
        <f t="shared" si="1"/>
        <v/>
      </c>
      <c r="G11" s="229" t="str">
        <f t="shared" si="1"/>
        <v/>
      </c>
      <c r="H11" s="230" t="str">
        <f t="shared" si="1"/>
        <v/>
      </c>
    </row>
    <row r="12" spans="2:8" ht="13.5" thickBot="1" x14ac:dyDescent="0.25"/>
    <row r="13" spans="2:8" ht="18" customHeight="1" x14ac:dyDescent="0.2">
      <c r="B13" s="223" t="s">
        <v>38</v>
      </c>
      <c r="C13" s="224" t="s">
        <v>217</v>
      </c>
      <c r="D13" s="224" t="s">
        <v>218</v>
      </c>
      <c r="E13" s="224" t="s">
        <v>219</v>
      </c>
      <c r="F13" s="224" t="s">
        <v>220</v>
      </c>
      <c r="G13" s="224" t="s">
        <v>153</v>
      </c>
      <c r="H13" s="225" t="s">
        <v>154</v>
      </c>
    </row>
    <row r="14" spans="2:8" ht="18" customHeight="1" x14ac:dyDescent="0.2">
      <c r="B14" s="226">
        <v>1</v>
      </c>
      <c r="C14" s="4">
        <v>205795.67</v>
      </c>
      <c r="D14" s="4"/>
      <c r="E14" s="4"/>
      <c r="F14" s="4"/>
      <c r="G14" s="4"/>
      <c r="H14" s="227"/>
    </row>
    <row r="15" spans="2:8" ht="18" customHeight="1" x14ac:dyDescent="0.2">
      <c r="B15" s="226">
        <v>2</v>
      </c>
      <c r="C15" s="4">
        <v>1035623.42</v>
      </c>
      <c r="D15" s="4"/>
      <c r="E15" s="4"/>
      <c r="F15" s="4"/>
      <c r="G15" s="4">
        <v>101766.97</v>
      </c>
      <c r="H15" s="227"/>
    </row>
    <row r="16" spans="2:8" ht="18" customHeight="1" thickBot="1" x14ac:dyDescent="0.25">
      <c r="B16" s="228" t="s">
        <v>200</v>
      </c>
      <c r="C16" s="229">
        <f t="shared" ref="C16:H16" si="2">IF(SUM(C14:C15)=0,"",SUM(C14:C15))</f>
        <v>1241419.0900000001</v>
      </c>
      <c r="D16" s="229" t="str">
        <f t="shared" si="2"/>
        <v/>
      </c>
      <c r="E16" s="229" t="str">
        <f t="shared" si="2"/>
        <v/>
      </c>
      <c r="F16" s="229" t="str">
        <f t="shared" si="2"/>
        <v/>
      </c>
      <c r="G16" s="229">
        <f t="shared" si="2"/>
        <v>101766.97</v>
      </c>
      <c r="H16" s="230" t="str">
        <f t="shared" si="2"/>
        <v/>
      </c>
    </row>
    <row r="17" spans="2:8" ht="13.5" thickBot="1" x14ac:dyDescent="0.25"/>
    <row r="18" spans="2:8" ht="18" customHeight="1" x14ac:dyDescent="0.2">
      <c r="B18" s="223" t="s">
        <v>38</v>
      </c>
      <c r="C18" s="224" t="s">
        <v>155</v>
      </c>
      <c r="D18" s="224" t="s">
        <v>156</v>
      </c>
      <c r="E18" s="224" t="s">
        <v>157</v>
      </c>
      <c r="F18" s="225" t="s">
        <v>158</v>
      </c>
      <c r="G18" s="231"/>
      <c r="H18" s="231"/>
    </row>
    <row r="19" spans="2:8" ht="18" customHeight="1" x14ac:dyDescent="0.2">
      <c r="B19" s="226">
        <v>1</v>
      </c>
      <c r="C19" s="4"/>
      <c r="D19" s="4"/>
      <c r="E19" s="4"/>
      <c r="F19" s="227"/>
      <c r="G19" s="231"/>
      <c r="H19" s="231"/>
    </row>
    <row r="20" spans="2:8" ht="18" customHeight="1" x14ac:dyDescent="0.2">
      <c r="B20" s="226">
        <v>2</v>
      </c>
      <c r="C20" s="4"/>
      <c r="D20" s="4"/>
      <c r="E20" s="4">
        <v>39039.47</v>
      </c>
      <c r="F20" s="227"/>
      <c r="G20" s="231"/>
      <c r="H20" s="231"/>
    </row>
    <row r="21" spans="2:8" ht="18" customHeight="1" thickBot="1" x14ac:dyDescent="0.25">
      <c r="B21" s="228" t="s">
        <v>200</v>
      </c>
      <c r="C21" s="229" t="str">
        <f t="shared" ref="C21:H21" si="3">IF(SUM(C19:C20)=0,"",SUM(C19:C20))</f>
        <v/>
      </c>
      <c r="D21" s="229" t="str">
        <f t="shared" si="3"/>
        <v/>
      </c>
      <c r="E21" s="229">
        <f t="shared" si="3"/>
        <v>39039.47</v>
      </c>
      <c r="F21" s="230" t="str">
        <f t="shared" si="3"/>
        <v/>
      </c>
      <c r="G21" s="231" t="str">
        <f t="shared" si="3"/>
        <v/>
      </c>
      <c r="H21" s="231" t="str">
        <f t="shared" si="3"/>
        <v/>
      </c>
    </row>
    <row r="23" spans="2:8" ht="13.5" thickBot="1" x14ac:dyDescent="0.25"/>
    <row r="24" spans="2:8" ht="18" customHeight="1" x14ac:dyDescent="0.2">
      <c r="B24" s="223" t="s">
        <v>38</v>
      </c>
      <c r="C24" s="224" t="s">
        <v>205</v>
      </c>
      <c r="D24" s="224" t="s">
        <v>206</v>
      </c>
      <c r="E24" s="224" t="s">
        <v>207</v>
      </c>
      <c r="F24" s="224" t="s">
        <v>208</v>
      </c>
      <c r="G24" s="224" t="s">
        <v>209</v>
      </c>
      <c r="H24" s="225" t="s">
        <v>210</v>
      </c>
    </row>
    <row r="25" spans="2:8" ht="18" customHeight="1" x14ac:dyDescent="0.2">
      <c r="B25" s="226">
        <v>1</v>
      </c>
      <c r="C25" s="4"/>
      <c r="D25" s="4"/>
      <c r="E25" s="4"/>
      <c r="F25" s="4"/>
      <c r="G25" s="4"/>
      <c r="H25" s="227"/>
    </row>
    <row r="26" spans="2:8" ht="18" customHeight="1" x14ac:dyDescent="0.2">
      <c r="B26" s="226">
        <v>2</v>
      </c>
      <c r="C26" s="4"/>
      <c r="D26" s="4"/>
      <c r="E26" s="4"/>
      <c r="F26" s="4"/>
      <c r="G26" s="4"/>
      <c r="H26" s="227"/>
    </row>
    <row r="27" spans="2:8" ht="18" customHeight="1" thickBot="1" x14ac:dyDescent="0.25">
      <c r="B27" s="228" t="s">
        <v>200</v>
      </c>
      <c r="C27" s="229" t="str">
        <f t="shared" ref="C27:H27" si="4">IF(SUM(C25:C26)=0,"",SUM(C25:C26))</f>
        <v/>
      </c>
      <c r="D27" s="229" t="str">
        <f t="shared" si="4"/>
        <v/>
      </c>
      <c r="E27" s="229" t="str">
        <f t="shared" si="4"/>
        <v/>
      </c>
      <c r="F27" s="229" t="str">
        <f t="shared" si="4"/>
        <v/>
      </c>
      <c r="G27" s="229" t="str">
        <f t="shared" si="4"/>
        <v/>
      </c>
      <c r="H27" s="230" t="str">
        <f t="shared" si="4"/>
        <v/>
      </c>
    </row>
    <row r="28" spans="2:8" ht="13.5" thickBot="1" x14ac:dyDescent="0.25"/>
    <row r="29" spans="2:8" ht="18" customHeight="1" x14ac:dyDescent="0.2">
      <c r="B29" s="223" t="s">
        <v>38</v>
      </c>
      <c r="C29" s="224" t="s">
        <v>211</v>
      </c>
      <c r="D29" s="224" t="s">
        <v>212</v>
      </c>
      <c r="E29" s="224" t="s">
        <v>213</v>
      </c>
      <c r="F29" s="224" t="s">
        <v>214</v>
      </c>
      <c r="G29" s="224" t="s">
        <v>215</v>
      </c>
      <c r="H29" s="225" t="s">
        <v>216</v>
      </c>
    </row>
    <row r="30" spans="2:8" ht="18" customHeight="1" x14ac:dyDescent="0.2">
      <c r="B30" s="226">
        <v>1</v>
      </c>
      <c r="C30" s="4"/>
      <c r="D30" s="4"/>
      <c r="E30" s="4"/>
      <c r="F30" s="4">
        <v>76681.17</v>
      </c>
      <c r="G30" s="4"/>
      <c r="H30" s="227"/>
    </row>
    <row r="31" spans="2:8" ht="18" customHeight="1" x14ac:dyDescent="0.2">
      <c r="B31" s="226">
        <v>2</v>
      </c>
      <c r="C31" s="4"/>
      <c r="D31" s="4"/>
      <c r="E31" s="4"/>
      <c r="F31" s="4">
        <v>190992.63</v>
      </c>
      <c r="G31" s="4"/>
      <c r="H31" s="227"/>
    </row>
    <row r="32" spans="2:8" ht="18" customHeight="1" thickBot="1" x14ac:dyDescent="0.25">
      <c r="B32" s="228" t="s">
        <v>200</v>
      </c>
      <c r="C32" s="229" t="str">
        <f t="shared" ref="C32:H32" si="5">IF(SUM(C30:C31)=0,"",SUM(C30:C31))</f>
        <v/>
      </c>
      <c r="D32" s="229" t="str">
        <f t="shared" si="5"/>
        <v/>
      </c>
      <c r="E32" s="229" t="str">
        <f t="shared" si="5"/>
        <v/>
      </c>
      <c r="F32" s="229">
        <f t="shared" si="5"/>
        <v>267673.8</v>
      </c>
      <c r="G32" s="229" t="str">
        <f t="shared" si="5"/>
        <v/>
      </c>
      <c r="H32" s="230" t="str">
        <f t="shared" si="5"/>
        <v/>
      </c>
    </row>
    <row r="33" spans="2:8" ht="13.5" thickBot="1" x14ac:dyDescent="0.25"/>
    <row r="34" spans="2:8" ht="18" customHeight="1" x14ac:dyDescent="0.2">
      <c r="B34" s="223" t="s">
        <v>38</v>
      </c>
      <c r="C34" s="224" t="s">
        <v>217</v>
      </c>
      <c r="D34" s="224" t="s">
        <v>218</v>
      </c>
      <c r="E34" s="224" t="s">
        <v>219</v>
      </c>
      <c r="F34" s="224" t="s">
        <v>220</v>
      </c>
      <c r="G34" s="224" t="s">
        <v>153</v>
      </c>
      <c r="H34" s="225" t="s">
        <v>154</v>
      </c>
    </row>
    <row r="35" spans="2:8" ht="18" customHeight="1" x14ac:dyDescent="0.2">
      <c r="B35" s="226">
        <v>1</v>
      </c>
      <c r="C35" s="4">
        <v>54884.37</v>
      </c>
      <c r="D35" s="4"/>
      <c r="E35" s="4"/>
      <c r="F35" s="4"/>
      <c r="G35" s="4"/>
      <c r="H35" s="227"/>
    </row>
    <row r="36" spans="2:8" ht="18" customHeight="1" x14ac:dyDescent="0.2">
      <c r="B36" s="226">
        <v>2</v>
      </c>
      <c r="C36" s="4">
        <v>387986.12</v>
      </c>
      <c r="D36" s="4"/>
      <c r="E36" s="4"/>
      <c r="F36" s="4"/>
      <c r="G36" s="4">
        <v>31805.68</v>
      </c>
      <c r="H36" s="227"/>
    </row>
    <row r="37" spans="2:8" ht="18" customHeight="1" thickBot="1" x14ac:dyDescent="0.25">
      <c r="B37" s="228" t="s">
        <v>200</v>
      </c>
      <c r="C37" s="229">
        <f t="shared" ref="C37:H37" si="6">IF(SUM(C35:C36)=0,"",SUM(C35:C36))</f>
        <v>442870.49</v>
      </c>
      <c r="D37" s="229" t="str">
        <f t="shared" si="6"/>
        <v/>
      </c>
      <c r="E37" s="229" t="str">
        <f t="shared" si="6"/>
        <v/>
      </c>
      <c r="F37" s="229" t="str">
        <f t="shared" si="6"/>
        <v/>
      </c>
      <c r="G37" s="229">
        <f t="shared" si="6"/>
        <v>31805.68</v>
      </c>
      <c r="H37" s="230" t="str">
        <f t="shared" si="6"/>
        <v/>
      </c>
    </row>
    <row r="38" spans="2:8" ht="13.5" thickBot="1" x14ac:dyDescent="0.25"/>
    <row r="39" spans="2:8" ht="18" customHeight="1" x14ac:dyDescent="0.2">
      <c r="B39" s="223" t="s">
        <v>38</v>
      </c>
      <c r="C39" s="224" t="s">
        <v>155</v>
      </c>
      <c r="D39" s="224" t="s">
        <v>156</v>
      </c>
      <c r="E39" s="224" t="s">
        <v>157</v>
      </c>
      <c r="F39" s="225" t="s">
        <v>158</v>
      </c>
      <c r="G39" s="231"/>
      <c r="H39" s="231"/>
    </row>
    <row r="40" spans="2:8" ht="18" customHeight="1" x14ac:dyDescent="0.2">
      <c r="B40" s="226">
        <v>1</v>
      </c>
      <c r="C40" s="4"/>
      <c r="D40" s="4"/>
      <c r="E40" s="4"/>
      <c r="F40" s="227"/>
      <c r="G40" s="231"/>
      <c r="H40" s="231"/>
    </row>
    <row r="41" spans="2:8" ht="18" customHeight="1" x14ac:dyDescent="0.2">
      <c r="B41" s="226">
        <v>2</v>
      </c>
      <c r="C41" s="4"/>
      <c r="D41" s="4"/>
      <c r="E41" s="4">
        <v>12201.17</v>
      </c>
      <c r="F41" s="227"/>
      <c r="G41" s="231"/>
      <c r="H41" s="231"/>
    </row>
    <row r="42" spans="2:8" ht="18" customHeight="1" thickBot="1" x14ac:dyDescent="0.25">
      <c r="B42" s="228" t="s">
        <v>200</v>
      </c>
      <c r="C42" s="229" t="str">
        <f t="shared" ref="C42:H42" si="7">IF(SUM(C40:C41)=0,"",SUM(C40:C41))</f>
        <v/>
      </c>
      <c r="D42" s="229" t="str">
        <f t="shared" si="7"/>
        <v/>
      </c>
      <c r="E42" s="229">
        <f t="shared" si="7"/>
        <v>12201.17</v>
      </c>
      <c r="F42" s="230" t="str">
        <f t="shared" si="7"/>
        <v/>
      </c>
      <c r="G42" s="231" t="str">
        <f t="shared" si="7"/>
        <v/>
      </c>
      <c r="H42" s="231" t="str">
        <f t="shared" si="7"/>
        <v/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"/>
  <sheetViews>
    <sheetView workbookViewId="0">
      <selection activeCell="O37" sqref="O37"/>
    </sheetView>
  </sheetViews>
  <sheetFormatPr defaultRowHeight="12.75" x14ac:dyDescent="0.2"/>
  <cols>
    <col min="1" max="1" width="5.42578125" style="213" bestFit="1" customWidth="1"/>
    <col min="2" max="2" width="6.140625" style="213" bestFit="1" customWidth="1"/>
    <col min="3" max="3" width="32.7109375" style="214" customWidth="1"/>
    <col min="4" max="4" width="8.85546875" style="213" customWidth="1"/>
    <col min="5" max="5" width="7.85546875" style="213" customWidth="1"/>
    <col min="6" max="7" width="11" style="214" customWidth="1"/>
    <col min="8" max="16384" width="9.140625" style="214"/>
  </cols>
  <sheetData>
    <row r="1" spans="1:15" ht="24.75" customHeight="1" x14ac:dyDescent="0.2">
      <c r="A1" s="216" t="s">
        <v>38</v>
      </c>
      <c r="B1" s="216" t="s">
        <v>39</v>
      </c>
      <c r="C1" s="216" t="s">
        <v>40</v>
      </c>
      <c r="D1" s="571" t="s">
        <v>41</v>
      </c>
      <c r="E1" s="571"/>
      <c r="F1" s="571" t="s">
        <v>42</v>
      </c>
      <c r="G1" s="571"/>
    </row>
    <row r="2" spans="1:15" ht="63.75" x14ac:dyDescent="0.2">
      <c r="A2" s="216"/>
      <c r="B2" s="216" t="s">
        <v>43</v>
      </c>
      <c r="C2" s="217"/>
      <c r="D2" s="216" t="s">
        <v>44</v>
      </c>
      <c r="E2" s="216" t="s">
        <v>199</v>
      </c>
      <c r="F2" s="216" t="s">
        <v>45</v>
      </c>
      <c r="G2" s="216" t="s">
        <v>46</v>
      </c>
    </row>
    <row r="3" spans="1:15" ht="25.5" x14ac:dyDescent="0.2">
      <c r="A3" s="218">
        <v>1</v>
      </c>
      <c r="B3" s="218">
        <v>1</v>
      </c>
      <c r="C3" s="217" t="s">
        <v>47</v>
      </c>
      <c r="D3" s="218"/>
      <c r="E3" s="218"/>
      <c r="F3" s="219"/>
      <c r="G3" s="219"/>
      <c r="K3" s="214">
        <v>5</v>
      </c>
      <c r="L3" s="214">
        <f>K3+4</f>
        <v>9</v>
      </c>
      <c r="M3" s="214">
        <f>L3+4</f>
        <v>13</v>
      </c>
      <c r="N3" s="214">
        <f>M3+4</f>
        <v>17</v>
      </c>
      <c r="O3" s="214">
        <f>N3+4</f>
        <v>21</v>
      </c>
    </row>
    <row r="4" spans="1:15" x14ac:dyDescent="0.2">
      <c r="A4" s="218"/>
      <c r="B4" s="218" t="s">
        <v>252</v>
      </c>
      <c r="C4" s="219" t="s">
        <v>136</v>
      </c>
      <c r="D4" s="218" t="s">
        <v>105</v>
      </c>
      <c r="E4" s="218">
        <v>1</v>
      </c>
      <c r="F4" s="220">
        <f>IF((H4-J4)*30=0,1,(H4-J4)*30)</f>
        <v>30</v>
      </c>
      <c r="G4" s="220">
        <f>(I4-J4)*30+30</f>
        <v>90</v>
      </c>
      <c r="H4" s="214">
        <v>10</v>
      </c>
      <c r="I4" s="214">
        <v>11</v>
      </c>
      <c r="J4" s="214">
        <f>SUM(K4:P4)</f>
        <v>9</v>
      </c>
      <c r="K4" s="214">
        <f t="shared" ref="K4:O7" si="0">IF(K$3&gt;$H4,0,IF(K$3&lt;=$H4-3,0,K$3))</f>
        <v>0</v>
      </c>
      <c r="L4" s="214">
        <f t="shared" si="0"/>
        <v>9</v>
      </c>
      <c r="M4" s="214">
        <f t="shared" si="0"/>
        <v>0</v>
      </c>
      <c r="N4" s="214">
        <f t="shared" si="0"/>
        <v>0</v>
      </c>
      <c r="O4" s="214">
        <f t="shared" si="0"/>
        <v>0</v>
      </c>
    </row>
    <row r="5" spans="1:15" x14ac:dyDescent="0.2">
      <c r="A5" s="218"/>
      <c r="B5" s="218" t="s">
        <v>339</v>
      </c>
      <c r="C5" s="219" t="s">
        <v>137</v>
      </c>
      <c r="D5" s="218" t="s">
        <v>105</v>
      </c>
      <c r="E5" s="218">
        <v>1</v>
      </c>
      <c r="F5" s="220">
        <f>IF((H5-J5)*30=0,1,(H5-J5)*30)</f>
        <v>60</v>
      </c>
      <c r="G5" s="220">
        <f>(I5-J5)*30+30</f>
        <v>120</v>
      </c>
      <c r="H5" s="214">
        <v>11</v>
      </c>
      <c r="I5" s="214">
        <v>12</v>
      </c>
      <c r="J5" s="214">
        <f>SUM(K5:P5)</f>
        <v>9</v>
      </c>
      <c r="K5" s="214">
        <f t="shared" si="0"/>
        <v>0</v>
      </c>
      <c r="L5" s="214">
        <f t="shared" si="0"/>
        <v>9</v>
      </c>
      <c r="M5" s="214">
        <f t="shared" si="0"/>
        <v>0</v>
      </c>
      <c r="N5" s="214">
        <f t="shared" si="0"/>
        <v>0</v>
      </c>
      <c r="O5" s="214">
        <f t="shared" si="0"/>
        <v>0</v>
      </c>
    </row>
    <row r="6" spans="1:15" x14ac:dyDescent="0.2">
      <c r="A6" s="218"/>
      <c r="B6" s="218" t="s">
        <v>190</v>
      </c>
      <c r="C6" s="219" t="s">
        <v>48</v>
      </c>
      <c r="D6" s="218" t="s">
        <v>105</v>
      </c>
      <c r="E6" s="218">
        <v>1</v>
      </c>
      <c r="F6" s="220">
        <f>IF((H6-J6)*30=0,1,(H6-J6)*30)</f>
        <v>360</v>
      </c>
      <c r="G6" s="220">
        <f>(I6-J6)*30+30</f>
        <v>450</v>
      </c>
      <c r="H6" s="214">
        <v>12</v>
      </c>
      <c r="I6" s="214">
        <v>14</v>
      </c>
      <c r="J6" s="214">
        <f>SUM(K6:P6)</f>
        <v>0</v>
      </c>
      <c r="K6" s="214">
        <f t="shared" si="0"/>
        <v>0</v>
      </c>
      <c r="L6" s="214">
        <f t="shared" si="0"/>
        <v>0</v>
      </c>
      <c r="M6" s="214">
        <f t="shared" si="0"/>
        <v>0</v>
      </c>
      <c r="N6" s="214">
        <f t="shared" si="0"/>
        <v>0</v>
      </c>
      <c r="O6" s="214">
        <f t="shared" si="0"/>
        <v>0</v>
      </c>
    </row>
    <row r="7" spans="1:15" ht="25.5" x14ac:dyDescent="0.2">
      <c r="A7" s="218"/>
      <c r="B7" s="218" t="s">
        <v>191</v>
      </c>
      <c r="C7" s="219" t="s">
        <v>49</v>
      </c>
      <c r="D7" s="218" t="s">
        <v>105</v>
      </c>
      <c r="E7" s="218">
        <v>1</v>
      </c>
      <c r="F7" s="220">
        <f>IF((H7-J7)*30=0,1,(H7-J7)*30)</f>
        <v>30</v>
      </c>
      <c r="G7" s="220">
        <f>(I7-J7)*30+30</f>
        <v>120</v>
      </c>
      <c r="H7" s="214">
        <v>14</v>
      </c>
      <c r="I7" s="214">
        <v>16</v>
      </c>
      <c r="J7" s="214">
        <f>SUM(K7:P7)</f>
        <v>13</v>
      </c>
      <c r="K7" s="214">
        <f t="shared" si="0"/>
        <v>0</v>
      </c>
      <c r="L7" s="214">
        <f t="shared" si="0"/>
        <v>0</v>
      </c>
      <c r="M7" s="214">
        <f t="shared" si="0"/>
        <v>13</v>
      </c>
      <c r="N7" s="214">
        <f t="shared" si="0"/>
        <v>0</v>
      </c>
      <c r="O7" s="214">
        <f t="shared" si="0"/>
        <v>0</v>
      </c>
    </row>
    <row r="8" spans="1:15" x14ac:dyDescent="0.2">
      <c r="A8" s="218"/>
      <c r="B8" s="218"/>
      <c r="C8" s="219"/>
      <c r="D8" s="218"/>
      <c r="E8" s="218"/>
      <c r="F8" s="220"/>
      <c r="G8" s="220"/>
    </row>
    <row r="9" spans="1:15" x14ac:dyDescent="0.2">
      <c r="A9" s="218">
        <v>2</v>
      </c>
      <c r="B9" s="218"/>
      <c r="C9" s="217" t="s">
        <v>50</v>
      </c>
      <c r="D9" s="218"/>
      <c r="E9" s="218"/>
      <c r="F9" s="220"/>
      <c r="G9" s="220"/>
    </row>
    <row r="10" spans="1:15" x14ac:dyDescent="0.2">
      <c r="A10" s="218"/>
      <c r="B10" s="218" t="s">
        <v>183</v>
      </c>
      <c r="C10" s="219" t="s">
        <v>135</v>
      </c>
      <c r="D10" s="218" t="s">
        <v>105</v>
      </c>
      <c r="E10" s="218">
        <v>1</v>
      </c>
      <c r="F10" s="220">
        <f>IF((H10-J10)*30=0,1,(H10-J10)*30)</f>
        <v>1</v>
      </c>
      <c r="G10" s="220">
        <f>(I10-J10)*30+30</f>
        <v>30</v>
      </c>
      <c r="H10" s="214">
        <v>5</v>
      </c>
      <c r="I10" s="214">
        <f>H10</f>
        <v>5</v>
      </c>
      <c r="J10" s="214">
        <f>SUM(K10:P10)</f>
        <v>5</v>
      </c>
      <c r="K10" s="214">
        <f>IF(K$3&gt;$H10,0,IF(K$3&lt;=$H10-3,0,K$3))</f>
        <v>5</v>
      </c>
      <c r="L10" s="214">
        <f>IF(L$3&gt;$H10,0,IF(L$3&lt;=$H10-3,0,L$3))</f>
        <v>0</v>
      </c>
      <c r="M10" s="214">
        <f>IF(M$3&gt;$H10,0,IF(M$3&lt;=$H10-3,0,M$3))</f>
        <v>0</v>
      </c>
      <c r="N10" s="214">
        <f>IF(N$3&gt;$H10,0,IF(N$3&lt;=$H10-3,0,N$3))</f>
        <v>0</v>
      </c>
      <c r="O10" s="214">
        <f>IF(O$3&gt;$H10,0,IF(O$3&lt;=$H10-3,0,O$3))</f>
        <v>0</v>
      </c>
    </row>
    <row r="11" spans="1:15" x14ac:dyDescent="0.2">
      <c r="A11" s="218"/>
      <c r="B11" s="218"/>
      <c r="C11" s="219"/>
      <c r="D11" s="218"/>
      <c r="E11" s="218"/>
      <c r="F11" s="220"/>
      <c r="G11" s="220"/>
    </row>
    <row r="12" spans="1:15" x14ac:dyDescent="0.2">
      <c r="A12" s="218"/>
      <c r="B12" s="218" t="s">
        <v>184</v>
      </c>
      <c r="C12" s="219" t="s">
        <v>349</v>
      </c>
      <c r="D12" s="218"/>
      <c r="E12" s="218"/>
      <c r="F12" s="220"/>
      <c r="G12" s="220"/>
    </row>
    <row r="13" spans="1:15" x14ac:dyDescent="0.2">
      <c r="A13" s="218"/>
      <c r="B13" s="207" t="s">
        <v>51</v>
      </c>
      <c r="C13" s="5" t="s">
        <v>136</v>
      </c>
      <c r="D13" s="218" t="s">
        <v>105</v>
      </c>
      <c r="E13" s="218">
        <v>1</v>
      </c>
      <c r="F13" s="220">
        <f>IF((H13-J13)*30=0,1,(H13-J13)*30)</f>
        <v>1</v>
      </c>
      <c r="G13" s="220">
        <f>(I13-J13)*30+30</f>
        <v>30</v>
      </c>
      <c r="H13" s="214">
        <v>5</v>
      </c>
      <c r="I13" s="214">
        <v>5</v>
      </c>
      <c r="J13" s="214">
        <f>SUM(K13:P13)</f>
        <v>5</v>
      </c>
      <c r="K13" s="214">
        <f t="shared" ref="K13:O15" si="1">IF(K$3&gt;$H13,0,IF(K$3&lt;=$H13-3,0,K$3))</f>
        <v>5</v>
      </c>
      <c r="L13" s="214">
        <f t="shared" si="1"/>
        <v>0</v>
      </c>
      <c r="M13" s="214">
        <f t="shared" si="1"/>
        <v>0</v>
      </c>
      <c r="N13" s="214">
        <f t="shared" si="1"/>
        <v>0</v>
      </c>
      <c r="O13" s="214">
        <f t="shared" si="1"/>
        <v>0</v>
      </c>
    </row>
    <row r="14" spans="1:15" x14ac:dyDescent="0.2">
      <c r="A14" s="218"/>
      <c r="B14" s="207" t="s">
        <v>52</v>
      </c>
      <c r="C14" s="5" t="s">
        <v>137</v>
      </c>
      <c r="D14" s="218" t="s">
        <v>105</v>
      </c>
      <c r="E14" s="218">
        <v>1</v>
      </c>
      <c r="F14" s="220">
        <f>IF((H14-J14)*30=0,1,(H14-J14)*30)</f>
        <v>1</v>
      </c>
      <c r="G14" s="220">
        <f>(I14-J14)*30+30</f>
        <v>60</v>
      </c>
      <c r="H14" s="214">
        <v>5</v>
      </c>
      <c r="I14" s="214">
        <v>6</v>
      </c>
      <c r="J14" s="214">
        <f>SUM(K14:P14)</f>
        <v>5</v>
      </c>
      <c r="K14" s="214">
        <f t="shared" si="1"/>
        <v>5</v>
      </c>
      <c r="L14" s="214">
        <f t="shared" si="1"/>
        <v>0</v>
      </c>
      <c r="M14" s="214">
        <f t="shared" si="1"/>
        <v>0</v>
      </c>
      <c r="N14" s="214">
        <f t="shared" si="1"/>
        <v>0</v>
      </c>
      <c r="O14" s="214">
        <f t="shared" si="1"/>
        <v>0</v>
      </c>
    </row>
    <row r="15" spans="1:15" x14ac:dyDescent="0.2">
      <c r="A15" s="218"/>
      <c r="B15" s="207" t="s">
        <v>53</v>
      </c>
      <c r="C15" s="5" t="s">
        <v>138</v>
      </c>
      <c r="D15" s="218" t="s">
        <v>105</v>
      </c>
      <c r="E15" s="218">
        <v>1</v>
      </c>
      <c r="F15" s="220">
        <f>IF((H15-J15)*30=0,1,(H15-J15)*30)</f>
        <v>30</v>
      </c>
      <c r="G15" s="220">
        <f>(I15-J15)*30+30</f>
        <v>60</v>
      </c>
      <c r="H15" s="214">
        <v>6</v>
      </c>
      <c r="I15" s="214">
        <v>6</v>
      </c>
      <c r="J15" s="214">
        <f>SUM(K15:P15)</f>
        <v>5</v>
      </c>
      <c r="K15" s="214">
        <f t="shared" si="1"/>
        <v>5</v>
      </c>
      <c r="L15" s="214">
        <f t="shared" si="1"/>
        <v>0</v>
      </c>
      <c r="M15" s="214">
        <f t="shared" si="1"/>
        <v>0</v>
      </c>
      <c r="N15" s="214">
        <f t="shared" si="1"/>
        <v>0</v>
      </c>
      <c r="O15" s="214">
        <f t="shared" si="1"/>
        <v>0</v>
      </c>
    </row>
    <row r="16" spans="1:15" x14ac:dyDescent="0.2">
      <c r="A16" s="218"/>
      <c r="B16" s="207"/>
      <c r="C16" s="5"/>
      <c r="D16" s="218"/>
      <c r="E16" s="218"/>
      <c r="F16" s="220"/>
      <c r="G16" s="220"/>
    </row>
    <row r="17" spans="1:15" x14ac:dyDescent="0.2">
      <c r="A17" s="218"/>
      <c r="B17" s="207" t="s">
        <v>185</v>
      </c>
      <c r="C17" s="5" t="s">
        <v>356</v>
      </c>
      <c r="D17" s="218"/>
      <c r="E17" s="218"/>
      <c r="F17" s="220"/>
      <c r="G17" s="220"/>
    </row>
    <row r="18" spans="1:15" x14ac:dyDescent="0.2">
      <c r="A18" s="218"/>
      <c r="B18" s="207" t="s">
        <v>54</v>
      </c>
      <c r="C18" s="5" t="s">
        <v>136</v>
      </c>
      <c r="D18" s="218" t="s">
        <v>105</v>
      </c>
      <c r="E18" s="218">
        <v>1</v>
      </c>
      <c r="F18" s="220">
        <f>IF((H18-J18)*30=0,1,(H18-J18)*30)</f>
        <v>30</v>
      </c>
      <c r="G18" s="220">
        <f>(I18-J18)*30+30</f>
        <v>60</v>
      </c>
      <c r="H18" s="214">
        <v>6</v>
      </c>
      <c r="I18" s="214">
        <f>H18</f>
        <v>6</v>
      </c>
      <c r="J18" s="214">
        <f>SUM(K18:P18)</f>
        <v>5</v>
      </c>
      <c r="K18" s="214">
        <f t="shared" ref="K18:O19" si="2">IF(K$3&gt;$H18,0,IF(K$3&lt;=$H18-3,0,K$3))</f>
        <v>5</v>
      </c>
      <c r="L18" s="214">
        <f t="shared" si="2"/>
        <v>0</v>
      </c>
      <c r="M18" s="214">
        <f t="shared" si="2"/>
        <v>0</v>
      </c>
      <c r="N18" s="214">
        <f t="shared" si="2"/>
        <v>0</v>
      </c>
      <c r="O18" s="214">
        <f t="shared" si="2"/>
        <v>0</v>
      </c>
    </row>
    <row r="19" spans="1:15" x14ac:dyDescent="0.2">
      <c r="A19" s="218"/>
      <c r="B19" s="207" t="s">
        <v>55</v>
      </c>
      <c r="C19" s="5" t="s">
        <v>56</v>
      </c>
      <c r="D19" s="218" t="s">
        <v>105</v>
      </c>
      <c r="E19" s="218">
        <v>1</v>
      </c>
      <c r="F19" s="220">
        <f>IF((H19-J19)*30=0,1,(H19-J19)*30)</f>
        <v>30</v>
      </c>
      <c r="G19" s="220">
        <f>(I19-J19)*30+30</f>
        <v>90</v>
      </c>
      <c r="H19" s="214">
        <v>6</v>
      </c>
      <c r="I19" s="214">
        <v>7</v>
      </c>
      <c r="J19" s="214">
        <f>SUM(K19:P19)</f>
        <v>5</v>
      </c>
      <c r="K19" s="214">
        <f t="shared" si="2"/>
        <v>5</v>
      </c>
      <c r="L19" s="214">
        <f t="shared" si="2"/>
        <v>0</v>
      </c>
      <c r="M19" s="214">
        <f t="shared" si="2"/>
        <v>0</v>
      </c>
      <c r="N19" s="214">
        <f t="shared" si="2"/>
        <v>0</v>
      </c>
      <c r="O19" s="214">
        <f t="shared" si="2"/>
        <v>0</v>
      </c>
    </row>
    <row r="20" spans="1:15" x14ac:dyDescent="0.2">
      <c r="A20" s="218"/>
      <c r="B20" s="207"/>
      <c r="C20" s="5"/>
      <c r="D20" s="218"/>
      <c r="E20" s="218"/>
      <c r="F20" s="220"/>
      <c r="G20" s="220"/>
    </row>
    <row r="21" spans="1:15" x14ac:dyDescent="0.2">
      <c r="A21" s="218"/>
      <c r="B21" s="207" t="s">
        <v>186</v>
      </c>
      <c r="C21" s="5" t="s">
        <v>129</v>
      </c>
      <c r="D21" s="218"/>
      <c r="E21" s="218"/>
      <c r="F21" s="220"/>
      <c r="G21" s="220"/>
    </row>
    <row r="22" spans="1:15" x14ac:dyDescent="0.2">
      <c r="A22" s="218"/>
      <c r="B22" s="207" t="s">
        <v>57</v>
      </c>
      <c r="C22" s="5" t="s">
        <v>136</v>
      </c>
      <c r="D22" s="218" t="s">
        <v>105</v>
      </c>
      <c r="E22" s="218">
        <v>1</v>
      </c>
      <c r="F22" s="220">
        <f>IF((H22-J22)*30=0,1,(H22-J22)*30)</f>
        <v>60</v>
      </c>
      <c r="G22" s="220">
        <f>(I22-J22)*30+30</f>
        <v>90</v>
      </c>
      <c r="H22" s="214">
        <v>7</v>
      </c>
      <c r="I22" s="214">
        <f>H22</f>
        <v>7</v>
      </c>
      <c r="J22" s="214">
        <f>SUM(K22:P22)</f>
        <v>5</v>
      </c>
      <c r="K22" s="214">
        <f t="shared" ref="K22:O26" si="3">IF(K$3&gt;$H22,0,IF(K$3&lt;=$H22-3,0,K$3))</f>
        <v>5</v>
      </c>
      <c r="L22" s="214">
        <f t="shared" si="3"/>
        <v>0</v>
      </c>
      <c r="M22" s="214">
        <f t="shared" si="3"/>
        <v>0</v>
      </c>
      <c r="N22" s="214">
        <f t="shared" si="3"/>
        <v>0</v>
      </c>
      <c r="O22" s="214">
        <f t="shared" si="3"/>
        <v>0</v>
      </c>
    </row>
    <row r="23" spans="1:15" x14ac:dyDescent="0.2">
      <c r="A23" s="218"/>
      <c r="B23" s="207" t="s">
        <v>58</v>
      </c>
      <c r="C23" s="5" t="s">
        <v>137</v>
      </c>
      <c r="D23" s="218" t="s">
        <v>105</v>
      </c>
      <c r="E23" s="218">
        <v>1</v>
      </c>
      <c r="F23" s="220">
        <f>IF((H23-J23)*30=0,1,(H23-J23)*30)</f>
        <v>60</v>
      </c>
      <c r="G23" s="220">
        <f>(I23-J23)*30+30</f>
        <v>180</v>
      </c>
      <c r="H23" s="214">
        <v>7</v>
      </c>
      <c r="I23" s="214">
        <v>10</v>
      </c>
      <c r="J23" s="214">
        <f>SUM(K23:P23)</f>
        <v>5</v>
      </c>
      <c r="K23" s="214">
        <f t="shared" si="3"/>
        <v>5</v>
      </c>
      <c r="L23" s="214">
        <f t="shared" si="3"/>
        <v>0</v>
      </c>
      <c r="M23" s="214">
        <f t="shared" si="3"/>
        <v>0</v>
      </c>
      <c r="N23" s="214">
        <f t="shared" si="3"/>
        <v>0</v>
      </c>
      <c r="O23" s="214">
        <f t="shared" si="3"/>
        <v>0</v>
      </c>
    </row>
    <row r="24" spans="1:15" x14ac:dyDescent="0.2">
      <c r="A24" s="218"/>
      <c r="B24" s="207" t="s">
        <v>59</v>
      </c>
      <c r="C24" s="5" t="s">
        <v>140</v>
      </c>
      <c r="D24" s="218" t="s">
        <v>105</v>
      </c>
      <c r="E24" s="218">
        <v>1</v>
      </c>
      <c r="F24" s="220">
        <f>IF((H24-J24)*30=0,1,(H24-J24)*30)</f>
        <v>240</v>
      </c>
      <c r="G24" s="220">
        <f>(I24-J24)*30+30</f>
        <v>330</v>
      </c>
      <c r="H24" s="214">
        <v>8</v>
      </c>
      <c r="I24" s="214">
        <v>10</v>
      </c>
      <c r="J24" s="214">
        <f>SUM(K24:P24)</f>
        <v>0</v>
      </c>
      <c r="K24" s="214">
        <f t="shared" si="3"/>
        <v>0</v>
      </c>
      <c r="L24" s="214">
        <f t="shared" si="3"/>
        <v>0</v>
      </c>
      <c r="M24" s="214">
        <f t="shared" si="3"/>
        <v>0</v>
      </c>
      <c r="N24" s="214">
        <f t="shared" si="3"/>
        <v>0</v>
      </c>
      <c r="O24" s="214">
        <f t="shared" si="3"/>
        <v>0</v>
      </c>
    </row>
    <row r="25" spans="1:15" x14ac:dyDescent="0.2">
      <c r="A25" s="218"/>
      <c r="B25" s="207" t="s">
        <v>60</v>
      </c>
      <c r="C25" s="5" t="s">
        <v>141</v>
      </c>
      <c r="D25" s="218" t="s">
        <v>105</v>
      </c>
      <c r="E25" s="218">
        <v>1</v>
      </c>
      <c r="F25" s="220">
        <f>IF((H25-J25)*30=0,1,(H25-J25)*30)</f>
        <v>30</v>
      </c>
      <c r="G25" s="220">
        <f>(I25-J25)*30+30</f>
        <v>90</v>
      </c>
      <c r="H25" s="214">
        <v>10</v>
      </c>
      <c r="I25" s="214">
        <v>11</v>
      </c>
      <c r="J25" s="214">
        <f>SUM(K25:P25)</f>
        <v>9</v>
      </c>
      <c r="K25" s="214">
        <f t="shared" si="3"/>
        <v>0</v>
      </c>
      <c r="L25" s="214">
        <f t="shared" si="3"/>
        <v>9</v>
      </c>
      <c r="M25" s="214">
        <f t="shared" si="3"/>
        <v>0</v>
      </c>
      <c r="N25" s="214">
        <f t="shared" si="3"/>
        <v>0</v>
      </c>
      <c r="O25" s="214">
        <f t="shared" si="3"/>
        <v>0</v>
      </c>
    </row>
    <row r="26" spans="1:15" x14ac:dyDescent="0.2">
      <c r="A26" s="218"/>
      <c r="B26" s="207" t="s">
        <v>61</v>
      </c>
      <c r="C26" s="5" t="s">
        <v>142</v>
      </c>
      <c r="D26" s="218" t="s">
        <v>105</v>
      </c>
      <c r="E26" s="218">
        <v>1</v>
      </c>
      <c r="F26" s="220">
        <f>IF((H26-J26)*30=0,1,(H26-J26)*30)</f>
        <v>60</v>
      </c>
      <c r="G26" s="220">
        <f>(I26-J26)*30+30</f>
        <v>90</v>
      </c>
      <c r="H26" s="214">
        <v>11</v>
      </c>
      <c r="I26" s="214">
        <f>H26</f>
        <v>11</v>
      </c>
      <c r="J26" s="214">
        <f>SUM(K26:P26)</f>
        <v>9</v>
      </c>
      <c r="K26" s="214">
        <f t="shared" si="3"/>
        <v>0</v>
      </c>
      <c r="L26" s="214">
        <f t="shared" si="3"/>
        <v>9</v>
      </c>
      <c r="M26" s="214">
        <f t="shared" si="3"/>
        <v>0</v>
      </c>
      <c r="N26" s="214">
        <f t="shared" si="3"/>
        <v>0</v>
      </c>
      <c r="O26" s="214">
        <f t="shared" si="3"/>
        <v>0</v>
      </c>
    </row>
    <row r="27" spans="1:15" x14ac:dyDescent="0.2">
      <c r="A27" s="218"/>
      <c r="B27" s="207"/>
      <c r="C27" s="5"/>
      <c r="D27" s="218"/>
      <c r="E27" s="218"/>
      <c r="F27" s="220"/>
      <c r="G27" s="220"/>
    </row>
    <row r="28" spans="1:15" x14ac:dyDescent="0.2">
      <c r="A28" s="218"/>
      <c r="B28" s="207" t="s">
        <v>187</v>
      </c>
      <c r="C28" s="5" t="s">
        <v>130</v>
      </c>
      <c r="D28" s="218"/>
      <c r="E28" s="218"/>
      <c r="F28" s="220"/>
      <c r="G28" s="220"/>
    </row>
    <row r="29" spans="1:15" x14ac:dyDescent="0.2">
      <c r="A29" s="218"/>
      <c r="B29" s="207" t="s">
        <v>62</v>
      </c>
      <c r="C29" s="5" t="s">
        <v>136</v>
      </c>
      <c r="D29" s="218" t="s">
        <v>105</v>
      </c>
      <c r="E29" s="218">
        <v>1</v>
      </c>
      <c r="F29" s="220">
        <f>IF((H29-J29)*30=0,1,(H29-J29)*30)</f>
        <v>1</v>
      </c>
      <c r="G29" s="220">
        <f>(I29-J29)*30+30</f>
        <v>30</v>
      </c>
      <c r="H29" s="214">
        <v>9</v>
      </c>
      <c r="I29" s="214">
        <f>H29</f>
        <v>9</v>
      </c>
      <c r="J29" s="214">
        <f>SUM(K29:P29)</f>
        <v>9</v>
      </c>
      <c r="K29" s="214">
        <f t="shared" ref="K29:O32" si="4">IF(K$3&gt;$H29,0,IF(K$3&lt;=$H29-3,0,K$3))</f>
        <v>0</v>
      </c>
      <c r="L29" s="214">
        <f t="shared" si="4"/>
        <v>9</v>
      </c>
      <c r="M29" s="214">
        <f t="shared" si="4"/>
        <v>0</v>
      </c>
      <c r="N29" s="214">
        <f t="shared" si="4"/>
        <v>0</v>
      </c>
      <c r="O29" s="214">
        <f t="shared" si="4"/>
        <v>0</v>
      </c>
    </row>
    <row r="30" spans="1:15" x14ac:dyDescent="0.2">
      <c r="A30" s="218"/>
      <c r="B30" s="207" t="s">
        <v>63</v>
      </c>
      <c r="C30" s="5" t="s">
        <v>143</v>
      </c>
      <c r="D30" s="218" t="s">
        <v>105</v>
      </c>
      <c r="E30" s="218">
        <v>1</v>
      </c>
      <c r="F30" s="220">
        <f>IF((H30-J30)*30=0,1,(H30-J30)*30)</f>
        <v>1</v>
      </c>
      <c r="G30" s="220">
        <f>(I30-J30)*30+30</f>
        <v>60</v>
      </c>
      <c r="H30" s="214">
        <v>9</v>
      </c>
      <c r="I30" s="214">
        <v>10</v>
      </c>
      <c r="J30" s="214">
        <f>SUM(K30:P30)</f>
        <v>9</v>
      </c>
      <c r="K30" s="214">
        <f t="shared" si="4"/>
        <v>0</v>
      </c>
      <c r="L30" s="214">
        <f t="shared" si="4"/>
        <v>9</v>
      </c>
      <c r="M30" s="214">
        <f t="shared" si="4"/>
        <v>0</v>
      </c>
      <c r="N30" s="214">
        <f t="shared" si="4"/>
        <v>0</v>
      </c>
      <c r="O30" s="214">
        <f t="shared" si="4"/>
        <v>0</v>
      </c>
    </row>
    <row r="31" spans="1:15" x14ac:dyDescent="0.2">
      <c r="A31" s="218"/>
      <c r="B31" s="207" t="s">
        <v>64</v>
      </c>
      <c r="C31" s="5" t="s">
        <v>140</v>
      </c>
      <c r="D31" s="218" t="s">
        <v>105</v>
      </c>
      <c r="E31" s="218">
        <v>1</v>
      </c>
      <c r="F31" s="220">
        <f>IF((H31-J31)*30=0,1,(H31-J31)*30)</f>
        <v>30</v>
      </c>
      <c r="G31" s="220">
        <f>(I31-J31)*30+30</f>
        <v>120</v>
      </c>
      <c r="H31" s="214">
        <v>10</v>
      </c>
      <c r="I31" s="214">
        <v>12</v>
      </c>
      <c r="J31" s="214">
        <f>SUM(K31:P31)</f>
        <v>9</v>
      </c>
      <c r="K31" s="214">
        <f t="shared" si="4"/>
        <v>0</v>
      </c>
      <c r="L31" s="214">
        <f t="shared" si="4"/>
        <v>9</v>
      </c>
      <c r="M31" s="214">
        <f t="shared" si="4"/>
        <v>0</v>
      </c>
      <c r="N31" s="214">
        <f t="shared" si="4"/>
        <v>0</v>
      </c>
      <c r="O31" s="214">
        <f t="shared" si="4"/>
        <v>0</v>
      </c>
    </row>
    <row r="32" spans="1:15" ht="25.5" x14ac:dyDescent="0.2">
      <c r="A32" s="218"/>
      <c r="B32" s="207" t="s">
        <v>65</v>
      </c>
      <c r="C32" s="5" t="s">
        <v>66</v>
      </c>
      <c r="D32" s="218" t="s">
        <v>105</v>
      </c>
      <c r="E32" s="218">
        <v>1</v>
      </c>
      <c r="F32" s="220">
        <f>IF((H32-J32)*30=0,1,(H32-J32)*30)</f>
        <v>360</v>
      </c>
      <c r="G32" s="220">
        <f>(I32-J32)*30+30</f>
        <v>420</v>
      </c>
      <c r="H32" s="214">
        <v>12</v>
      </c>
      <c r="I32" s="214">
        <v>13</v>
      </c>
      <c r="J32" s="214">
        <f>SUM(K32:P32)</f>
        <v>0</v>
      </c>
      <c r="K32" s="214">
        <f t="shared" si="4"/>
        <v>0</v>
      </c>
      <c r="L32" s="214">
        <f t="shared" si="4"/>
        <v>0</v>
      </c>
      <c r="M32" s="214">
        <f t="shared" si="4"/>
        <v>0</v>
      </c>
      <c r="N32" s="214">
        <f t="shared" si="4"/>
        <v>0</v>
      </c>
      <c r="O32" s="214">
        <f t="shared" si="4"/>
        <v>0</v>
      </c>
    </row>
    <row r="33" spans="1:15" x14ac:dyDescent="0.2">
      <c r="A33" s="218"/>
      <c r="B33" s="207"/>
      <c r="C33" s="5"/>
      <c r="D33" s="218"/>
      <c r="E33" s="218"/>
      <c r="F33" s="220"/>
      <c r="G33" s="220"/>
    </row>
    <row r="34" spans="1:15" x14ac:dyDescent="0.2">
      <c r="A34" s="218"/>
      <c r="B34" s="207" t="s">
        <v>188</v>
      </c>
      <c r="C34" s="5" t="s">
        <v>340</v>
      </c>
      <c r="D34" s="218"/>
      <c r="E34" s="218"/>
      <c r="F34" s="220"/>
      <c r="G34" s="220"/>
    </row>
    <row r="35" spans="1:15" x14ac:dyDescent="0.2">
      <c r="A35" s="218"/>
      <c r="B35" s="207" t="s">
        <v>67</v>
      </c>
      <c r="C35" s="5" t="s">
        <v>136</v>
      </c>
      <c r="D35" s="218" t="s">
        <v>105</v>
      </c>
      <c r="E35" s="218">
        <v>1</v>
      </c>
      <c r="F35" s="220">
        <f>IF((H35-J35)*30=0,1,(H35-J35)*30)</f>
        <v>60</v>
      </c>
      <c r="G35" s="220">
        <f>(I35-J35)*30+30</f>
        <v>90</v>
      </c>
      <c r="H35" s="214">
        <v>11</v>
      </c>
      <c r="I35" s="214">
        <f>H35</f>
        <v>11</v>
      </c>
      <c r="J35" s="214">
        <f>SUM(K35:P35)</f>
        <v>9</v>
      </c>
      <c r="K35" s="214">
        <f t="shared" ref="K35:O39" si="5">IF(K$3&gt;$H35,0,IF(K$3&lt;=$H35-3,0,K$3))</f>
        <v>0</v>
      </c>
      <c r="L35" s="214">
        <f t="shared" si="5"/>
        <v>9</v>
      </c>
      <c r="M35" s="214">
        <f t="shared" si="5"/>
        <v>0</v>
      </c>
      <c r="N35" s="214">
        <f t="shared" si="5"/>
        <v>0</v>
      </c>
      <c r="O35" s="214">
        <f t="shared" si="5"/>
        <v>0</v>
      </c>
    </row>
    <row r="36" spans="1:15" x14ac:dyDescent="0.2">
      <c r="A36" s="218"/>
      <c r="B36" s="207" t="s">
        <v>68</v>
      </c>
      <c r="C36" s="5" t="s">
        <v>143</v>
      </c>
      <c r="D36" s="218" t="s">
        <v>105</v>
      </c>
      <c r="E36" s="218">
        <v>1</v>
      </c>
      <c r="F36" s="220">
        <f>IF((H36-J36)*30=0,1,(H36-J36)*30)</f>
        <v>60</v>
      </c>
      <c r="G36" s="220">
        <f>(I36-J36)*30+30</f>
        <v>120</v>
      </c>
      <c r="H36" s="214">
        <v>11</v>
      </c>
      <c r="I36" s="214">
        <v>12</v>
      </c>
      <c r="J36" s="214">
        <f>SUM(K36:P36)</f>
        <v>9</v>
      </c>
      <c r="K36" s="214">
        <f t="shared" si="5"/>
        <v>0</v>
      </c>
      <c r="L36" s="214">
        <f t="shared" si="5"/>
        <v>9</v>
      </c>
      <c r="M36" s="214">
        <f t="shared" si="5"/>
        <v>0</v>
      </c>
      <c r="N36" s="214">
        <f t="shared" si="5"/>
        <v>0</v>
      </c>
      <c r="O36" s="214">
        <f t="shared" si="5"/>
        <v>0</v>
      </c>
    </row>
    <row r="37" spans="1:15" x14ac:dyDescent="0.2">
      <c r="A37" s="218"/>
      <c r="B37" s="207" t="s">
        <v>69</v>
      </c>
      <c r="C37" s="5" t="s">
        <v>140</v>
      </c>
      <c r="D37" s="218" t="s">
        <v>105</v>
      </c>
      <c r="E37" s="218">
        <v>1</v>
      </c>
      <c r="F37" s="220">
        <f>IF((H37-J37)*30=0,1,(H37-J37)*30)</f>
        <v>360</v>
      </c>
      <c r="G37" s="220">
        <f>(I37-J37)*30+30</f>
        <v>450</v>
      </c>
      <c r="H37" s="214">
        <v>12</v>
      </c>
      <c r="I37" s="214">
        <v>14</v>
      </c>
      <c r="J37" s="214">
        <f>SUM(K37:P37)</f>
        <v>0</v>
      </c>
      <c r="K37" s="214">
        <f t="shared" si="5"/>
        <v>0</v>
      </c>
      <c r="L37" s="214">
        <f t="shared" si="5"/>
        <v>0</v>
      </c>
      <c r="M37" s="214">
        <f t="shared" si="5"/>
        <v>0</v>
      </c>
      <c r="N37" s="214">
        <f t="shared" si="5"/>
        <v>0</v>
      </c>
      <c r="O37" s="214">
        <f t="shared" si="5"/>
        <v>0</v>
      </c>
    </row>
    <row r="38" spans="1:15" x14ac:dyDescent="0.2">
      <c r="A38" s="218"/>
      <c r="B38" s="207" t="s">
        <v>70</v>
      </c>
      <c r="C38" s="5" t="s">
        <v>141</v>
      </c>
      <c r="D38" s="218" t="s">
        <v>105</v>
      </c>
      <c r="E38" s="218">
        <v>1</v>
      </c>
      <c r="F38" s="220">
        <f>IF((H38-J38)*30=0,1,(H38-J38)*30)</f>
        <v>30</v>
      </c>
      <c r="G38" s="220">
        <f>(I38-J38)*30+30</f>
        <v>90</v>
      </c>
      <c r="H38" s="214">
        <v>14</v>
      </c>
      <c r="I38" s="214">
        <v>15</v>
      </c>
      <c r="J38" s="214">
        <f>SUM(K38:P38)</f>
        <v>13</v>
      </c>
      <c r="K38" s="214">
        <f t="shared" si="5"/>
        <v>0</v>
      </c>
      <c r="L38" s="214">
        <f t="shared" si="5"/>
        <v>0</v>
      </c>
      <c r="M38" s="214">
        <f t="shared" si="5"/>
        <v>13</v>
      </c>
      <c r="N38" s="214">
        <f t="shared" si="5"/>
        <v>0</v>
      </c>
      <c r="O38" s="214">
        <f t="shared" si="5"/>
        <v>0</v>
      </c>
    </row>
    <row r="39" spans="1:15" x14ac:dyDescent="0.2">
      <c r="A39" s="218"/>
      <c r="B39" s="207" t="s">
        <v>71</v>
      </c>
      <c r="C39" s="5" t="s">
        <v>142</v>
      </c>
      <c r="D39" s="218" t="s">
        <v>105</v>
      </c>
      <c r="E39" s="218">
        <v>1</v>
      </c>
      <c r="F39" s="220">
        <f>IF((H39-J39)*30=0,1,(H39-J39)*30)</f>
        <v>480</v>
      </c>
      <c r="G39" s="220">
        <f>(I39-J39)*30+30</f>
        <v>510</v>
      </c>
      <c r="H39" s="214">
        <v>16</v>
      </c>
      <c r="I39" s="214">
        <f>H39</f>
        <v>16</v>
      </c>
      <c r="J39" s="214">
        <f>SUM(K39:P39)</f>
        <v>0</v>
      </c>
      <c r="K39" s="214">
        <f t="shared" si="5"/>
        <v>0</v>
      </c>
      <c r="L39" s="214">
        <f t="shared" si="5"/>
        <v>0</v>
      </c>
      <c r="M39" s="214">
        <f t="shared" si="5"/>
        <v>0</v>
      </c>
      <c r="N39" s="214">
        <f t="shared" si="5"/>
        <v>0</v>
      </c>
      <c r="O39" s="214">
        <f t="shared" si="5"/>
        <v>0</v>
      </c>
    </row>
    <row r="40" spans="1:15" x14ac:dyDescent="0.2">
      <c r="A40" s="218"/>
      <c r="B40" s="207"/>
      <c r="C40" s="5"/>
      <c r="D40" s="218"/>
      <c r="E40" s="218"/>
      <c r="F40" s="220"/>
      <c r="G40" s="220"/>
    </row>
    <row r="41" spans="1:15" x14ac:dyDescent="0.2">
      <c r="A41" s="218"/>
      <c r="B41" s="207" t="s">
        <v>192</v>
      </c>
      <c r="C41" s="5" t="s">
        <v>286</v>
      </c>
      <c r="D41" s="218"/>
      <c r="E41" s="218"/>
      <c r="F41" s="220"/>
      <c r="G41" s="220"/>
    </row>
    <row r="42" spans="1:15" x14ac:dyDescent="0.2">
      <c r="A42" s="218"/>
      <c r="B42" s="207" t="s">
        <v>72</v>
      </c>
      <c r="C42" s="5" t="s">
        <v>136</v>
      </c>
      <c r="D42" s="218" t="s">
        <v>105</v>
      </c>
      <c r="E42" s="218">
        <v>1</v>
      </c>
      <c r="F42" s="220">
        <f>IF((H42-J42)*30=0,1,(H42-J42)*30)</f>
        <v>30</v>
      </c>
      <c r="G42" s="220">
        <f>(I42-J42)*30+30</f>
        <v>60</v>
      </c>
      <c r="H42" s="214">
        <v>14</v>
      </c>
      <c r="I42" s="214">
        <f>H42</f>
        <v>14</v>
      </c>
      <c r="J42" s="214">
        <f>SUM(K42:P42)</f>
        <v>13</v>
      </c>
      <c r="K42" s="214">
        <f t="shared" ref="K42:O44" si="6">IF(K$3&gt;$H42,0,IF(K$3&lt;=$H42-3,0,K$3))</f>
        <v>0</v>
      </c>
      <c r="L42" s="214">
        <f t="shared" si="6"/>
        <v>0</v>
      </c>
      <c r="M42" s="214">
        <f t="shared" si="6"/>
        <v>13</v>
      </c>
      <c r="N42" s="214">
        <f t="shared" si="6"/>
        <v>0</v>
      </c>
      <c r="O42" s="214">
        <f t="shared" si="6"/>
        <v>0</v>
      </c>
    </row>
    <row r="43" spans="1:15" x14ac:dyDescent="0.2">
      <c r="A43" s="218"/>
      <c r="B43" s="207" t="s">
        <v>73</v>
      </c>
      <c r="C43" s="5" t="s">
        <v>140</v>
      </c>
      <c r="D43" s="218" t="s">
        <v>105</v>
      </c>
      <c r="E43" s="218">
        <v>1</v>
      </c>
      <c r="F43" s="220">
        <f>IF((H43-J43)*30=0,1,(H43-J43)*30)</f>
        <v>30</v>
      </c>
      <c r="G43" s="220">
        <f>(I43-J43)*30+30</f>
        <v>120</v>
      </c>
      <c r="H43" s="214">
        <v>14</v>
      </c>
      <c r="I43" s="214">
        <v>16</v>
      </c>
      <c r="J43" s="214">
        <f>SUM(K43:P43)</f>
        <v>13</v>
      </c>
      <c r="K43" s="214">
        <f t="shared" si="6"/>
        <v>0</v>
      </c>
      <c r="L43" s="214">
        <f t="shared" si="6"/>
        <v>0</v>
      </c>
      <c r="M43" s="214">
        <f t="shared" si="6"/>
        <v>13</v>
      </c>
      <c r="N43" s="214">
        <f t="shared" si="6"/>
        <v>0</v>
      </c>
      <c r="O43" s="214">
        <f t="shared" si="6"/>
        <v>0</v>
      </c>
    </row>
    <row r="44" spans="1:15" x14ac:dyDescent="0.2">
      <c r="A44" s="218"/>
      <c r="B44" s="207" t="s">
        <v>74</v>
      </c>
      <c r="C44" s="5" t="s">
        <v>144</v>
      </c>
      <c r="D44" s="218" t="s">
        <v>105</v>
      </c>
      <c r="E44" s="218">
        <v>1</v>
      </c>
      <c r="F44" s="220">
        <f>IF((H44-J44)*30=0,1,(H44-J44)*30)</f>
        <v>480</v>
      </c>
      <c r="G44" s="220">
        <f>(I44-J44)*30+30</f>
        <v>510</v>
      </c>
      <c r="H44" s="214">
        <v>16</v>
      </c>
      <c r="I44" s="214">
        <f>H44</f>
        <v>16</v>
      </c>
      <c r="J44" s="214">
        <f>SUM(K44:P44)</f>
        <v>0</v>
      </c>
      <c r="K44" s="214">
        <f t="shared" si="6"/>
        <v>0</v>
      </c>
      <c r="L44" s="214">
        <f t="shared" si="6"/>
        <v>0</v>
      </c>
      <c r="M44" s="214">
        <f t="shared" si="6"/>
        <v>0</v>
      </c>
      <c r="N44" s="214">
        <f t="shared" si="6"/>
        <v>0</v>
      </c>
      <c r="O44" s="214">
        <f t="shared" si="6"/>
        <v>0</v>
      </c>
    </row>
    <row r="45" spans="1:15" x14ac:dyDescent="0.2">
      <c r="A45" s="218"/>
      <c r="B45" s="207"/>
      <c r="C45" s="5"/>
      <c r="D45" s="218"/>
      <c r="E45" s="218"/>
      <c r="F45" s="220"/>
      <c r="G45" s="220"/>
    </row>
    <row r="46" spans="1:15" x14ac:dyDescent="0.2">
      <c r="A46" s="218"/>
      <c r="B46" s="207" t="s">
        <v>193</v>
      </c>
      <c r="C46" s="5" t="s">
        <v>145</v>
      </c>
      <c r="D46" s="218"/>
      <c r="E46" s="218"/>
      <c r="F46" s="220"/>
      <c r="G46" s="220"/>
    </row>
    <row r="47" spans="1:15" x14ac:dyDescent="0.2">
      <c r="A47" s="218"/>
      <c r="B47" s="207" t="s">
        <v>75</v>
      </c>
      <c r="C47" s="5" t="s">
        <v>137</v>
      </c>
      <c r="D47" s="218" t="s">
        <v>105</v>
      </c>
      <c r="E47" s="218">
        <v>1</v>
      </c>
      <c r="F47" s="220">
        <f>IF((H47-J47)*30=0,1,(H47-J47)*30)</f>
        <v>480</v>
      </c>
      <c r="G47" s="220">
        <f>(I47-J47)*30+30</f>
        <v>540</v>
      </c>
      <c r="H47" s="214">
        <v>16</v>
      </c>
      <c r="I47" s="214">
        <v>17</v>
      </c>
      <c r="J47" s="214">
        <f>SUM(K47:P47)</f>
        <v>0</v>
      </c>
      <c r="K47" s="214">
        <f t="shared" ref="K47:O48" si="7">IF(K$3&gt;$H47,0,IF(K$3&lt;=$H47-3,0,K$3))</f>
        <v>0</v>
      </c>
      <c r="L47" s="214">
        <f t="shared" si="7"/>
        <v>0</v>
      </c>
      <c r="M47" s="214">
        <f t="shared" si="7"/>
        <v>0</v>
      </c>
      <c r="N47" s="214">
        <f t="shared" si="7"/>
        <v>0</v>
      </c>
      <c r="O47" s="214">
        <f t="shared" si="7"/>
        <v>0</v>
      </c>
    </row>
    <row r="48" spans="1:15" x14ac:dyDescent="0.2">
      <c r="A48" s="218"/>
      <c r="B48" s="207" t="s">
        <v>76</v>
      </c>
      <c r="C48" s="5" t="s">
        <v>141</v>
      </c>
      <c r="D48" s="218" t="s">
        <v>105</v>
      </c>
      <c r="E48" s="218">
        <v>1</v>
      </c>
      <c r="F48" s="220">
        <f>IF((H48-J48)*30=0,1,(H48-J48)*30)</f>
        <v>480</v>
      </c>
      <c r="G48" s="220">
        <f>(I48-J48)*30+30</f>
        <v>540</v>
      </c>
      <c r="H48" s="214">
        <v>16</v>
      </c>
      <c r="I48" s="214">
        <v>17</v>
      </c>
      <c r="J48" s="214">
        <f>SUM(K48:P48)</f>
        <v>0</v>
      </c>
      <c r="K48" s="214">
        <f t="shared" si="7"/>
        <v>0</v>
      </c>
      <c r="L48" s="214">
        <f t="shared" si="7"/>
        <v>0</v>
      </c>
      <c r="M48" s="214">
        <f t="shared" si="7"/>
        <v>0</v>
      </c>
      <c r="N48" s="214">
        <f t="shared" si="7"/>
        <v>0</v>
      </c>
      <c r="O48" s="214">
        <f t="shared" si="7"/>
        <v>0</v>
      </c>
    </row>
    <row r="49" spans="1:15" x14ac:dyDescent="0.2">
      <c r="A49" s="218"/>
      <c r="B49" s="207"/>
      <c r="C49" s="5"/>
      <c r="D49" s="218"/>
      <c r="E49" s="218"/>
      <c r="F49" s="220"/>
      <c r="G49" s="220"/>
    </row>
    <row r="50" spans="1:15" x14ac:dyDescent="0.2">
      <c r="A50" s="218"/>
      <c r="B50" s="218" t="s">
        <v>194</v>
      </c>
      <c r="C50" s="219" t="s">
        <v>182</v>
      </c>
      <c r="D50" s="218"/>
      <c r="E50" s="218"/>
      <c r="F50" s="220"/>
      <c r="G50" s="220"/>
    </row>
    <row r="51" spans="1:15" x14ac:dyDescent="0.2">
      <c r="A51" s="218"/>
      <c r="B51" s="218" t="s">
        <v>77</v>
      </c>
      <c r="C51" s="219" t="s">
        <v>136</v>
      </c>
      <c r="D51" s="218" t="s">
        <v>105</v>
      </c>
      <c r="E51" s="218">
        <v>1</v>
      </c>
      <c r="F51" s="220">
        <f>IF((H51-J51)*30=0,1,(H51-J51)*30)</f>
        <v>60</v>
      </c>
      <c r="G51" s="220">
        <f>(I51-J51)*30+30</f>
        <v>90</v>
      </c>
      <c r="H51" s="214">
        <v>15</v>
      </c>
      <c r="I51" s="214">
        <f>H51</f>
        <v>15</v>
      </c>
      <c r="J51" s="214">
        <f>SUM(K51:P51)</f>
        <v>13</v>
      </c>
      <c r="K51" s="214">
        <f t="shared" ref="K51:O54" si="8">IF(K$3&gt;$H51,0,IF(K$3&lt;=$H51-3,0,K$3))</f>
        <v>0</v>
      </c>
      <c r="L51" s="214">
        <f t="shared" si="8"/>
        <v>0</v>
      </c>
      <c r="M51" s="214">
        <f t="shared" si="8"/>
        <v>13</v>
      </c>
      <c r="N51" s="214">
        <f t="shared" si="8"/>
        <v>0</v>
      </c>
      <c r="O51" s="214">
        <f t="shared" si="8"/>
        <v>0</v>
      </c>
    </row>
    <row r="52" spans="1:15" x14ac:dyDescent="0.2">
      <c r="A52" s="218"/>
      <c r="B52" s="218" t="s">
        <v>78</v>
      </c>
      <c r="C52" s="219" t="s">
        <v>137</v>
      </c>
      <c r="D52" s="218" t="s">
        <v>105</v>
      </c>
      <c r="E52" s="218">
        <v>1</v>
      </c>
      <c r="F52" s="220">
        <f>IF((H52-J52)*30=0,1,(H52-J52)*30)</f>
        <v>60</v>
      </c>
      <c r="G52" s="220">
        <f>(I52-J52)*30+30</f>
        <v>150</v>
      </c>
      <c r="H52" s="214">
        <v>15</v>
      </c>
      <c r="I52" s="214">
        <v>17</v>
      </c>
      <c r="J52" s="214">
        <f>SUM(K52:P52)</f>
        <v>13</v>
      </c>
      <c r="K52" s="214">
        <f t="shared" si="8"/>
        <v>0</v>
      </c>
      <c r="L52" s="214">
        <f t="shared" si="8"/>
        <v>0</v>
      </c>
      <c r="M52" s="214">
        <f t="shared" si="8"/>
        <v>13</v>
      </c>
      <c r="N52" s="214">
        <f t="shared" si="8"/>
        <v>0</v>
      </c>
      <c r="O52" s="214">
        <f t="shared" si="8"/>
        <v>0</v>
      </c>
    </row>
    <row r="53" spans="1:15" x14ac:dyDescent="0.2">
      <c r="A53" s="218"/>
      <c r="B53" s="218" t="s">
        <v>79</v>
      </c>
      <c r="C53" s="219" t="s">
        <v>140</v>
      </c>
      <c r="D53" s="218" t="s">
        <v>105</v>
      </c>
      <c r="E53" s="218">
        <v>1</v>
      </c>
      <c r="F53" s="220">
        <f>IF((H53-J53)*30=0,1,(H53-J53)*30)</f>
        <v>480</v>
      </c>
      <c r="G53" s="220">
        <f>(I53-J53)*30+30</f>
        <v>540</v>
      </c>
      <c r="H53" s="214">
        <v>16</v>
      </c>
      <c r="I53" s="214">
        <v>17</v>
      </c>
      <c r="J53" s="214">
        <f>SUM(K53:P53)</f>
        <v>0</v>
      </c>
      <c r="K53" s="214">
        <f t="shared" si="8"/>
        <v>0</v>
      </c>
      <c r="L53" s="214">
        <f t="shared" si="8"/>
        <v>0</v>
      </c>
      <c r="M53" s="214">
        <f t="shared" si="8"/>
        <v>0</v>
      </c>
      <c r="N53" s="214">
        <f t="shared" si="8"/>
        <v>0</v>
      </c>
      <c r="O53" s="214">
        <f t="shared" si="8"/>
        <v>0</v>
      </c>
    </row>
    <row r="54" spans="1:15" x14ac:dyDescent="0.2">
      <c r="A54" s="218"/>
      <c r="B54" s="218" t="s">
        <v>80</v>
      </c>
      <c r="C54" s="219" t="s">
        <v>141</v>
      </c>
      <c r="D54" s="218" t="s">
        <v>105</v>
      </c>
      <c r="E54" s="218">
        <v>1</v>
      </c>
      <c r="F54" s="220">
        <f>IF((H54-J54)*30=0,1,(H54-J54)*30)</f>
        <v>480</v>
      </c>
      <c r="G54" s="220">
        <f>(I54-J54)*30+30</f>
        <v>540</v>
      </c>
      <c r="H54" s="214">
        <v>16</v>
      </c>
      <c r="I54" s="214">
        <v>17</v>
      </c>
      <c r="J54" s="214">
        <f>SUM(K54:P54)</f>
        <v>0</v>
      </c>
      <c r="K54" s="214">
        <f t="shared" si="8"/>
        <v>0</v>
      </c>
      <c r="L54" s="214">
        <f t="shared" si="8"/>
        <v>0</v>
      </c>
      <c r="M54" s="214">
        <f t="shared" si="8"/>
        <v>0</v>
      </c>
      <c r="N54" s="214">
        <f t="shared" si="8"/>
        <v>0</v>
      </c>
      <c r="O54" s="214">
        <f t="shared" si="8"/>
        <v>0</v>
      </c>
    </row>
    <row r="55" spans="1:15" x14ac:dyDescent="0.2">
      <c r="A55" s="218"/>
      <c r="B55" s="218"/>
      <c r="C55" s="219"/>
      <c r="D55" s="218"/>
      <c r="E55" s="218"/>
      <c r="F55" s="220"/>
      <c r="G55" s="220"/>
    </row>
    <row r="56" spans="1:15" x14ac:dyDescent="0.2">
      <c r="A56" s="218"/>
      <c r="B56" s="218" t="s">
        <v>195</v>
      </c>
      <c r="C56" s="219" t="s">
        <v>147</v>
      </c>
      <c r="D56" s="218"/>
      <c r="E56" s="218"/>
      <c r="F56" s="220"/>
      <c r="G56" s="220"/>
    </row>
    <row r="57" spans="1:15" x14ac:dyDescent="0.2">
      <c r="A57" s="218"/>
      <c r="B57" s="218" t="s">
        <v>81</v>
      </c>
      <c r="C57" s="219" t="s">
        <v>136</v>
      </c>
      <c r="D57" s="218" t="s">
        <v>105</v>
      </c>
      <c r="E57" s="218">
        <v>1</v>
      </c>
      <c r="F57" s="220">
        <f>IF((H57-J57)*30=0,1,(H57-J57)*30)</f>
        <v>1</v>
      </c>
      <c r="G57" s="220">
        <f>(I57-J57)*30+30</f>
        <v>30</v>
      </c>
      <c r="H57" s="214">
        <v>17</v>
      </c>
      <c r="I57" s="214">
        <f>H57</f>
        <v>17</v>
      </c>
      <c r="J57" s="214">
        <f>SUM(K57:P57)</f>
        <v>17</v>
      </c>
      <c r="K57" s="214">
        <f t="shared" ref="K57:O60" si="9">IF(K$3&gt;$H57,0,IF(K$3&lt;=$H57-3,0,K$3))</f>
        <v>0</v>
      </c>
      <c r="L57" s="214">
        <f t="shared" si="9"/>
        <v>0</v>
      </c>
      <c r="M57" s="214">
        <f t="shared" si="9"/>
        <v>0</v>
      </c>
      <c r="N57" s="214">
        <f t="shared" si="9"/>
        <v>17</v>
      </c>
      <c r="O57" s="214">
        <f t="shared" si="9"/>
        <v>0</v>
      </c>
    </row>
    <row r="58" spans="1:15" x14ac:dyDescent="0.2">
      <c r="A58" s="218"/>
      <c r="B58" s="218" t="s">
        <v>82</v>
      </c>
      <c r="C58" s="219" t="s">
        <v>148</v>
      </c>
      <c r="D58" s="218" t="s">
        <v>105</v>
      </c>
      <c r="E58" s="218">
        <v>1</v>
      </c>
      <c r="F58" s="220">
        <f>IF((H58-J58)*30=0,1,(H58-J58)*30)</f>
        <v>1</v>
      </c>
      <c r="G58" s="220">
        <f>(I58-J58)*30+30</f>
        <v>30</v>
      </c>
      <c r="H58" s="214">
        <v>17</v>
      </c>
      <c r="I58" s="214">
        <f>H58</f>
        <v>17</v>
      </c>
      <c r="J58" s="214">
        <f>SUM(K58:P58)</f>
        <v>17</v>
      </c>
      <c r="K58" s="214">
        <f t="shared" si="9"/>
        <v>0</v>
      </c>
      <c r="L58" s="214">
        <f t="shared" si="9"/>
        <v>0</v>
      </c>
      <c r="M58" s="214">
        <f t="shared" si="9"/>
        <v>0</v>
      </c>
      <c r="N58" s="214">
        <f t="shared" si="9"/>
        <v>17</v>
      </c>
      <c r="O58" s="214">
        <f t="shared" si="9"/>
        <v>0</v>
      </c>
    </row>
    <row r="59" spans="1:15" x14ac:dyDescent="0.2">
      <c r="A59" s="218"/>
      <c r="B59" s="218" t="s">
        <v>83</v>
      </c>
      <c r="C59" s="219" t="s">
        <v>149</v>
      </c>
      <c r="D59" s="218" t="s">
        <v>105</v>
      </c>
      <c r="E59" s="218">
        <v>1</v>
      </c>
      <c r="F59" s="220">
        <f>IF((H59-J59)*30=0,1,(H59-J59)*30)</f>
        <v>30</v>
      </c>
      <c r="G59" s="220">
        <f>(I59-J59)*30+30</f>
        <v>90</v>
      </c>
      <c r="H59" s="214">
        <v>18</v>
      </c>
      <c r="I59" s="214">
        <v>19</v>
      </c>
      <c r="J59" s="214">
        <f>SUM(K59:P59)</f>
        <v>17</v>
      </c>
      <c r="K59" s="214">
        <f t="shared" si="9"/>
        <v>0</v>
      </c>
      <c r="L59" s="214">
        <f t="shared" si="9"/>
        <v>0</v>
      </c>
      <c r="M59" s="214">
        <f t="shared" si="9"/>
        <v>0</v>
      </c>
      <c r="N59" s="214">
        <f t="shared" si="9"/>
        <v>17</v>
      </c>
      <c r="O59" s="214">
        <f t="shared" si="9"/>
        <v>0</v>
      </c>
    </row>
    <row r="60" spans="1:15" x14ac:dyDescent="0.2">
      <c r="A60" s="218"/>
      <c r="B60" s="218" t="s">
        <v>84</v>
      </c>
      <c r="C60" s="219" t="s">
        <v>150</v>
      </c>
      <c r="D60" s="218" t="s">
        <v>105</v>
      </c>
      <c r="E60" s="218">
        <v>1</v>
      </c>
      <c r="F60" s="220">
        <f>IF((H60-J60)*30=0,1,(H60-J60)*30)</f>
        <v>600</v>
      </c>
      <c r="G60" s="220">
        <f>(I60-J60)*30+30</f>
        <v>630</v>
      </c>
      <c r="H60" s="214">
        <v>20</v>
      </c>
      <c r="I60" s="214">
        <f>H60</f>
        <v>20</v>
      </c>
      <c r="J60" s="214">
        <f>SUM(K60:P60)</f>
        <v>0</v>
      </c>
      <c r="K60" s="214">
        <f t="shared" si="9"/>
        <v>0</v>
      </c>
      <c r="L60" s="214">
        <f t="shared" si="9"/>
        <v>0</v>
      </c>
      <c r="M60" s="214">
        <f t="shared" si="9"/>
        <v>0</v>
      </c>
      <c r="N60" s="214">
        <f t="shared" si="9"/>
        <v>0</v>
      </c>
      <c r="O60" s="214">
        <f t="shared" si="9"/>
        <v>0</v>
      </c>
    </row>
    <row r="61" spans="1:15" x14ac:dyDescent="0.2">
      <c r="A61" s="218"/>
      <c r="B61" s="218"/>
      <c r="C61" s="219"/>
      <c r="D61" s="218"/>
      <c r="E61" s="218"/>
      <c r="F61" s="220"/>
      <c r="G61" s="220"/>
    </row>
    <row r="62" spans="1:15" x14ac:dyDescent="0.2">
      <c r="A62" s="218"/>
      <c r="B62" s="218" t="s">
        <v>196</v>
      </c>
      <c r="C62" s="219" t="s">
        <v>85</v>
      </c>
      <c r="D62" s="218"/>
      <c r="E62" s="218"/>
      <c r="F62" s="220"/>
      <c r="G62" s="220"/>
    </row>
    <row r="63" spans="1:15" x14ac:dyDescent="0.2">
      <c r="A63" s="218"/>
      <c r="B63" s="218" t="s">
        <v>86</v>
      </c>
      <c r="C63" s="219" t="s">
        <v>136</v>
      </c>
      <c r="D63" s="218" t="s">
        <v>105</v>
      </c>
      <c r="E63" s="218">
        <v>1</v>
      </c>
      <c r="F63" s="220">
        <f>IF((H63-J63)*30=0,1,(H63-J63)*30)</f>
        <v>600</v>
      </c>
      <c r="G63" s="220">
        <f>(I63-J63)*30+30</f>
        <v>630</v>
      </c>
      <c r="H63" s="214">
        <v>20</v>
      </c>
      <c r="I63" s="214">
        <f>H63</f>
        <v>20</v>
      </c>
      <c r="J63" s="214">
        <f>SUM(K63:P63)</f>
        <v>0</v>
      </c>
      <c r="K63" s="214">
        <f t="shared" ref="K63:O66" si="10">IF(K$3&gt;$H63,0,IF(K$3&lt;=$H63-3,0,K$3))</f>
        <v>0</v>
      </c>
      <c r="L63" s="214">
        <f t="shared" si="10"/>
        <v>0</v>
      </c>
      <c r="M63" s="214">
        <f t="shared" si="10"/>
        <v>0</v>
      </c>
      <c r="N63" s="214">
        <f t="shared" si="10"/>
        <v>0</v>
      </c>
      <c r="O63" s="214">
        <f t="shared" si="10"/>
        <v>0</v>
      </c>
    </row>
    <row r="64" spans="1:15" x14ac:dyDescent="0.2">
      <c r="A64" s="218"/>
      <c r="B64" s="218" t="s">
        <v>87</v>
      </c>
      <c r="C64" s="219" t="s">
        <v>137</v>
      </c>
      <c r="D64" s="218" t="s">
        <v>105</v>
      </c>
      <c r="E64" s="218">
        <v>1</v>
      </c>
      <c r="F64" s="220">
        <f>IF((H64-J64)*30=0,1,(H64-J64)*30)</f>
        <v>600</v>
      </c>
      <c r="G64" s="220">
        <f>(I64-J64)*30+30</f>
        <v>660</v>
      </c>
      <c r="H64" s="214">
        <v>20</v>
      </c>
      <c r="I64" s="214">
        <v>21</v>
      </c>
      <c r="J64" s="214">
        <f>SUM(K64:P64)</f>
        <v>0</v>
      </c>
      <c r="K64" s="214">
        <f t="shared" si="10"/>
        <v>0</v>
      </c>
      <c r="L64" s="214">
        <f t="shared" si="10"/>
        <v>0</v>
      </c>
      <c r="M64" s="214">
        <f t="shared" si="10"/>
        <v>0</v>
      </c>
      <c r="N64" s="214">
        <f t="shared" si="10"/>
        <v>0</v>
      </c>
      <c r="O64" s="214">
        <f t="shared" si="10"/>
        <v>0</v>
      </c>
    </row>
    <row r="65" spans="1:15" x14ac:dyDescent="0.2">
      <c r="A65" s="218"/>
      <c r="B65" s="218" t="s">
        <v>88</v>
      </c>
      <c r="C65" s="219" t="s">
        <v>140</v>
      </c>
      <c r="D65" s="218" t="s">
        <v>105</v>
      </c>
      <c r="E65" s="218">
        <v>1</v>
      </c>
      <c r="F65" s="220">
        <f>IF((H65-J65)*30=0,1,(H65-J65)*30)</f>
        <v>600</v>
      </c>
      <c r="G65" s="220">
        <f>(I65-J65)*30+30</f>
        <v>660</v>
      </c>
      <c r="H65" s="214">
        <v>20</v>
      </c>
      <c r="I65" s="214">
        <v>21</v>
      </c>
      <c r="J65" s="214">
        <f>SUM(K65:P65)</f>
        <v>0</v>
      </c>
      <c r="K65" s="214">
        <f t="shared" si="10"/>
        <v>0</v>
      </c>
      <c r="L65" s="214">
        <f t="shared" si="10"/>
        <v>0</v>
      </c>
      <c r="M65" s="214">
        <f t="shared" si="10"/>
        <v>0</v>
      </c>
      <c r="N65" s="214">
        <f t="shared" si="10"/>
        <v>0</v>
      </c>
      <c r="O65" s="214">
        <f t="shared" si="10"/>
        <v>0</v>
      </c>
    </row>
    <row r="66" spans="1:15" x14ac:dyDescent="0.2">
      <c r="A66" s="218"/>
      <c r="B66" s="218" t="s">
        <v>89</v>
      </c>
      <c r="C66" s="219" t="s">
        <v>141</v>
      </c>
      <c r="D66" s="218" t="s">
        <v>105</v>
      </c>
      <c r="E66" s="218">
        <v>1</v>
      </c>
      <c r="F66" s="220">
        <f>IF((H66-J66)*30=0,1,(H66-J66)*30)</f>
        <v>600</v>
      </c>
      <c r="G66" s="220">
        <f>(I66-J66)*30+30</f>
        <v>660</v>
      </c>
      <c r="H66" s="214">
        <v>20</v>
      </c>
      <c r="I66" s="214">
        <v>21</v>
      </c>
      <c r="J66" s="214">
        <f>SUM(K66:P66)</f>
        <v>0</v>
      </c>
      <c r="K66" s="214">
        <f t="shared" si="10"/>
        <v>0</v>
      </c>
      <c r="L66" s="214">
        <f t="shared" si="10"/>
        <v>0</v>
      </c>
      <c r="M66" s="214">
        <f t="shared" si="10"/>
        <v>0</v>
      </c>
      <c r="N66" s="214">
        <f t="shared" si="10"/>
        <v>0</v>
      </c>
      <c r="O66" s="214">
        <f t="shared" si="10"/>
        <v>0</v>
      </c>
    </row>
    <row r="67" spans="1:15" x14ac:dyDescent="0.2">
      <c r="A67" s="218"/>
      <c r="B67" s="218"/>
      <c r="C67" s="219"/>
      <c r="D67" s="218"/>
      <c r="E67" s="218"/>
      <c r="F67" s="220"/>
      <c r="G67" s="220"/>
    </row>
    <row r="68" spans="1:15" x14ac:dyDescent="0.2">
      <c r="A68" s="218"/>
      <c r="B68" s="218" t="s">
        <v>197</v>
      </c>
      <c r="C68" s="219" t="s">
        <v>142</v>
      </c>
      <c r="D68" s="218" t="s">
        <v>105</v>
      </c>
      <c r="E68" s="218">
        <v>1</v>
      </c>
      <c r="F68" s="220">
        <f>IF((H68-J68)*30=0,1,(H68-J68)*30)</f>
        <v>1</v>
      </c>
      <c r="G68" s="220">
        <f>(I68-J68)*30+30</f>
        <v>60</v>
      </c>
      <c r="H68" s="214">
        <v>21</v>
      </c>
      <c r="I68" s="214">
        <v>22</v>
      </c>
      <c r="J68" s="214">
        <f>SUM(K68:P68)</f>
        <v>21</v>
      </c>
      <c r="K68" s="214">
        <f>IF(K$3&gt;$H68,0,IF(K$3&lt;=$H68-3,0,K$3))</f>
        <v>0</v>
      </c>
      <c r="L68" s="214">
        <f>IF(L$3&gt;$H68,0,IF(L$3&lt;=$H68-3,0,L$3))</f>
        <v>0</v>
      </c>
      <c r="M68" s="214">
        <f>IF(M$3&gt;$H68,0,IF(M$3&lt;=$H68-3,0,M$3))</f>
        <v>0</v>
      </c>
      <c r="N68" s="214">
        <f>IF(N$3&gt;$H68,0,IF(N$3&lt;=$H68-3,0,N$3))</f>
        <v>0</v>
      </c>
      <c r="O68" s="214">
        <f>IF(O$3&gt;$H68,0,IF(O$3&lt;=$H68-3,0,O$3))</f>
        <v>21</v>
      </c>
    </row>
    <row r="69" spans="1:15" x14ac:dyDescent="0.2">
      <c r="F69" s="215"/>
      <c r="G69" s="215"/>
    </row>
    <row r="70" spans="1:15" x14ac:dyDescent="0.2">
      <c r="F70" s="215"/>
      <c r="G70" s="215"/>
    </row>
    <row r="71" spans="1:15" x14ac:dyDescent="0.2">
      <c r="F71" s="215"/>
      <c r="G71" s="215"/>
    </row>
    <row r="72" spans="1:15" x14ac:dyDescent="0.2">
      <c r="F72" s="215"/>
      <c r="G72" s="215"/>
    </row>
    <row r="73" spans="1:15" x14ac:dyDescent="0.2">
      <c r="F73" s="215"/>
      <c r="G73" s="215"/>
    </row>
    <row r="74" spans="1:15" x14ac:dyDescent="0.2">
      <c r="F74" s="215"/>
      <c r="G74" s="215"/>
    </row>
    <row r="75" spans="1:15" x14ac:dyDescent="0.2">
      <c r="F75" s="215"/>
      <c r="G75" s="215"/>
    </row>
    <row r="76" spans="1:15" x14ac:dyDescent="0.2">
      <c r="F76" s="215"/>
      <c r="G76" s="215"/>
    </row>
    <row r="77" spans="1:15" x14ac:dyDescent="0.2">
      <c r="F77" s="215"/>
      <c r="G77" s="215"/>
    </row>
    <row r="78" spans="1:15" x14ac:dyDescent="0.2">
      <c r="F78" s="215"/>
      <c r="G78" s="215"/>
    </row>
    <row r="79" spans="1:15" x14ac:dyDescent="0.2">
      <c r="F79" s="215"/>
      <c r="G79" s="215"/>
    </row>
    <row r="80" spans="1:15" x14ac:dyDescent="0.2">
      <c r="F80" s="215"/>
      <c r="G80" s="215"/>
    </row>
    <row r="81" spans="6:7" x14ac:dyDescent="0.2">
      <c r="F81" s="215"/>
      <c r="G81" s="215"/>
    </row>
    <row r="82" spans="6:7" x14ac:dyDescent="0.2">
      <c r="F82" s="215"/>
      <c r="G82" s="215"/>
    </row>
    <row r="83" spans="6:7" x14ac:dyDescent="0.2">
      <c r="F83" s="215"/>
      <c r="G83" s="215"/>
    </row>
    <row r="84" spans="6:7" x14ac:dyDescent="0.2">
      <c r="F84" s="215"/>
      <c r="G84" s="215"/>
    </row>
    <row r="85" spans="6:7" x14ac:dyDescent="0.2">
      <c r="F85" s="215"/>
      <c r="G85" s="215"/>
    </row>
    <row r="86" spans="6:7" x14ac:dyDescent="0.2">
      <c r="F86" s="215"/>
      <c r="G86" s="215"/>
    </row>
    <row r="87" spans="6:7" x14ac:dyDescent="0.2">
      <c r="F87" s="215"/>
      <c r="G87" s="215"/>
    </row>
    <row r="88" spans="6:7" x14ac:dyDescent="0.2">
      <c r="F88" s="215"/>
      <c r="G88" s="215"/>
    </row>
    <row r="89" spans="6:7" x14ac:dyDescent="0.2">
      <c r="F89" s="215"/>
      <c r="G89" s="215"/>
    </row>
    <row r="90" spans="6:7" x14ac:dyDescent="0.2">
      <c r="F90" s="215"/>
      <c r="G90" s="215"/>
    </row>
    <row r="91" spans="6:7" x14ac:dyDescent="0.2">
      <c r="F91" s="215"/>
      <c r="G91" s="215"/>
    </row>
    <row r="92" spans="6:7" x14ac:dyDescent="0.2">
      <c r="F92" s="215"/>
      <c r="G92" s="215"/>
    </row>
    <row r="93" spans="6:7" x14ac:dyDescent="0.2">
      <c r="F93" s="215"/>
      <c r="G93" s="215"/>
    </row>
    <row r="94" spans="6:7" x14ac:dyDescent="0.2">
      <c r="F94" s="215"/>
      <c r="G94" s="215"/>
    </row>
    <row r="95" spans="6:7" x14ac:dyDescent="0.2">
      <c r="F95" s="215"/>
      <c r="G95" s="215"/>
    </row>
    <row r="96" spans="6:7" x14ac:dyDescent="0.2">
      <c r="F96" s="215"/>
      <c r="G96" s="215"/>
    </row>
    <row r="97" spans="6:7" x14ac:dyDescent="0.2">
      <c r="F97" s="215"/>
      <c r="G97" s="215"/>
    </row>
    <row r="98" spans="6:7" x14ac:dyDescent="0.2">
      <c r="F98" s="215"/>
      <c r="G98" s="215"/>
    </row>
    <row r="99" spans="6:7" x14ac:dyDescent="0.2">
      <c r="F99" s="215"/>
      <c r="G99" s="215"/>
    </row>
    <row r="100" spans="6:7" x14ac:dyDescent="0.2">
      <c r="F100" s="215"/>
      <c r="G100" s="215"/>
    </row>
    <row r="101" spans="6:7" x14ac:dyDescent="0.2">
      <c r="F101" s="215"/>
      <c r="G101" s="215"/>
    </row>
    <row r="102" spans="6:7" x14ac:dyDescent="0.2">
      <c r="F102" s="215"/>
      <c r="G102" s="215"/>
    </row>
    <row r="103" spans="6:7" x14ac:dyDescent="0.2">
      <c r="F103" s="215"/>
      <c r="G103" s="215"/>
    </row>
    <row r="104" spans="6:7" x14ac:dyDescent="0.2">
      <c r="F104" s="215"/>
      <c r="G104" s="215"/>
    </row>
    <row r="105" spans="6:7" x14ac:dyDescent="0.2">
      <c r="F105" s="215"/>
      <c r="G105" s="215"/>
    </row>
    <row r="106" spans="6:7" x14ac:dyDescent="0.2">
      <c r="F106" s="215"/>
      <c r="G106" s="215"/>
    </row>
    <row r="107" spans="6:7" x14ac:dyDescent="0.2">
      <c r="F107" s="215"/>
      <c r="G107" s="215"/>
    </row>
    <row r="108" spans="6:7" x14ac:dyDescent="0.2">
      <c r="F108" s="215"/>
      <c r="G108" s="215"/>
    </row>
    <row r="109" spans="6:7" x14ac:dyDescent="0.2">
      <c r="F109" s="215"/>
      <c r="G109" s="215"/>
    </row>
    <row r="110" spans="6:7" x14ac:dyDescent="0.2">
      <c r="F110" s="215"/>
      <c r="G110" s="215"/>
    </row>
    <row r="111" spans="6:7" x14ac:dyDescent="0.2">
      <c r="F111" s="215"/>
      <c r="G111" s="215"/>
    </row>
    <row r="112" spans="6:7" x14ac:dyDescent="0.2">
      <c r="F112" s="215"/>
      <c r="G112" s="215"/>
    </row>
    <row r="113" spans="6:7" x14ac:dyDescent="0.2">
      <c r="F113" s="215"/>
      <c r="G113" s="215"/>
    </row>
    <row r="114" spans="6:7" x14ac:dyDescent="0.2">
      <c r="F114" s="215"/>
      <c r="G114" s="215"/>
    </row>
    <row r="115" spans="6:7" x14ac:dyDescent="0.2">
      <c r="F115" s="215"/>
      <c r="G115" s="215"/>
    </row>
    <row r="116" spans="6:7" x14ac:dyDescent="0.2">
      <c r="F116" s="215"/>
      <c r="G116" s="215"/>
    </row>
    <row r="117" spans="6:7" x14ac:dyDescent="0.2">
      <c r="F117" s="215"/>
      <c r="G117" s="215"/>
    </row>
    <row r="118" spans="6:7" x14ac:dyDescent="0.2">
      <c r="F118" s="215"/>
      <c r="G118" s="215"/>
    </row>
    <row r="119" spans="6:7" x14ac:dyDescent="0.2">
      <c r="F119" s="215"/>
      <c r="G119" s="215"/>
    </row>
    <row r="120" spans="6:7" x14ac:dyDescent="0.2">
      <c r="F120" s="215"/>
      <c r="G120" s="215"/>
    </row>
    <row r="121" spans="6:7" x14ac:dyDescent="0.2">
      <c r="F121" s="215"/>
      <c r="G121" s="215"/>
    </row>
    <row r="122" spans="6:7" x14ac:dyDescent="0.2">
      <c r="F122" s="215"/>
      <c r="G122" s="215"/>
    </row>
    <row r="123" spans="6:7" x14ac:dyDescent="0.2">
      <c r="F123" s="215"/>
      <c r="G123" s="215"/>
    </row>
    <row r="124" spans="6:7" x14ac:dyDescent="0.2">
      <c r="F124" s="215"/>
      <c r="G124" s="215"/>
    </row>
    <row r="125" spans="6:7" x14ac:dyDescent="0.2">
      <c r="F125" s="215"/>
      <c r="G125" s="215"/>
    </row>
    <row r="126" spans="6:7" x14ac:dyDescent="0.2">
      <c r="F126" s="215"/>
      <c r="G126" s="215"/>
    </row>
    <row r="127" spans="6:7" x14ac:dyDescent="0.2">
      <c r="F127" s="215"/>
      <c r="G127" s="215"/>
    </row>
    <row r="128" spans="6:7" x14ac:dyDescent="0.2">
      <c r="F128" s="215"/>
      <c r="G128" s="215"/>
    </row>
    <row r="129" spans="6:7" x14ac:dyDescent="0.2">
      <c r="F129" s="215"/>
      <c r="G129" s="215"/>
    </row>
    <row r="130" spans="6:7" x14ac:dyDescent="0.2">
      <c r="F130" s="215"/>
      <c r="G130" s="215"/>
    </row>
    <row r="131" spans="6:7" x14ac:dyDescent="0.2">
      <c r="F131" s="215"/>
      <c r="G131" s="215"/>
    </row>
    <row r="132" spans="6:7" x14ac:dyDescent="0.2">
      <c r="F132" s="215"/>
      <c r="G132" s="215"/>
    </row>
    <row r="133" spans="6:7" x14ac:dyDescent="0.2">
      <c r="F133" s="215"/>
      <c r="G133" s="215"/>
    </row>
    <row r="134" spans="6:7" x14ac:dyDescent="0.2">
      <c r="F134" s="215"/>
      <c r="G134" s="215"/>
    </row>
    <row r="135" spans="6:7" x14ac:dyDescent="0.2">
      <c r="F135" s="215"/>
      <c r="G135" s="215"/>
    </row>
    <row r="136" spans="6:7" x14ac:dyDescent="0.2">
      <c r="F136" s="215"/>
      <c r="G136" s="215"/>
    </row>
    <row r="137" spans="6:7" x14ac:dyDescent="0.2">
      <c r="F137" s="215"/>
      <c r="G137" s="215"/>
    </row>
    <row r="138" spans="6:7" x14ac:dyDescent="0.2">
      <c r="F138" s="215"/>
      <c r="G138" s="215"/>
    </row>
    <row r="139" spans="6:7" x14ac:dyDescent="0.2">
      <c r="F139" s="215"/>
      <c r="G139" s="215"/>
    </row>
    <row r="140" spans="6:7" x14ac:dyDescent="0.2">
      <c r="F140" s="215"/>
      <c r="G140" s="215"/>
    </row>
    <row r="141" spans="6:7" x14ac:dyDescent="0.2">
      <c r="F141" s="215"/>
      <c r="G141" s="215"/>
    </row>
    <row r="142" spans="6:7" x14ac:dyDescent="0.2">
      <c r="F142" s="215"/>
      <c r="G142" s="215"/>
    </row>
    <row r="143" spans="6:7" x14ac:dyDescent="0.2">
      <c r="F143" s="215"/>
      <c r="G143" s="215"/>
    </row>
    <row r="144" spans="6:7" x14ac:dyDescent="0.2">
      <c r="F144" s="215"/>
      <c r="G144" s="215"/>
    </row>
    <row r="145" spans="6:7" x14ac:dyDescent="0.2">
      <c r="F145" s="215"/>
      <c r="G145" s="215"/>
    </row>
    <row r="146" spans="6:7" x14ac:dyDescent="0.2">
      <c r="F146" s="215"/>
      <c r="G146" s="215"/>
    </row>
    <row r="147" spans="6:7" x14ac:dyDescent="0.2">
      <c r="F147" s="215"/>
      <c r="G147" s="215"/>
    </row>
    <row r="148" spans="6:7" x14ac:dyDescent="0.2">
      <c r="F148" s="215"/>
      <c r="G148" s="215"/>
    </row>
    <row r="149" spans="6:7" x14ac:dyDescent="0.2">
      <c r="F149" s="215"/>
      <c r="G149" s="215"/>
    </row>
    <row r="150" spans="6:7" x14ac:dyDescent="0.2">
      <c r="F150" s="215"/>
      <c r="G150" s="215"/>
    </row>
    <row r="151" spans="6:7" x14ac:dyDescent="0.2">
      <c r="F151" s="215"/>
      <c r="G151" s="215"/>
    </row>
    <row r="152" spans="6:7" x14ac:dyDescent="0.2">
      <c r="F152" s="215"/>
      <c r="G152" s="215"/>
    </row>
    <row r="153" spans="6:7" x14ac:dyDescent="0.2">
      <c r="F153" s="215"/>
      <c r="G153" s="215"/>
    </row>
    <row r="154" spans="6:7" x14ac:dyDescent="0.2">
      <c r="F154" s="215"/>
      <c r="G154" s="215"/>
    </row>
    <row r="155" spans="6:7" x14ac:dyDescent="0.2">
      <c r="F155" s="215"/>
      <c r="G155" s="215"/>
    </row>
    <row r="156" spans="6:7" x14ac:dyDescent="0.2">
      <c r="F156" s="215"/>
      <c r="G156" s="215"/>
    </row>
    <row r="157" spans="6:7" x14ac:dyDescent="0.2">
      <c r="F157" s="215"/>
      <c r="G157" s="215"/>
    </row>
    <row r="158" spans="6:7" x14ac:dyDescent="0.2">
      <c r="F158" s="215"/>
      <c r="G158" s="215"/>
    </row>
    <row r="159" spans="6:7" x14ac:dyDescent="0.2">
      <c r="F159" s="215"/>
      <c r="G159" s="215"/>
    </row>
    <row r="160" spans="6:7" x14ac:dyDescent="0.2">
      <c r="F160" s="215"/>
      <c r="G160" s="215"/>
    </row>
    <row r="161" spans="6:7" x14ac:dyDescent="0.2">
      <c r="F161" s="215"/>
      <c r="G161" s="215"/>
    </row>
    <row r="162" spans="6:7" x14ac:dyDescent="0.2">
      <c r="F162" s="215"/>
      <c r="G162" s="215"/>
    </row>
    <row r="163" spans="6:7" x14ac:dyDescent="0.2">
      <c r="F163" s="215"/>
      <c r="G163" s="215"/>
    </row>
    <row r="164" spans="6:7" x14ac:dyDescent="0.2">
      <c r="F164" s="215"/>
      <c r="G164" s="215"/>
    </row>
    <row r="165" spans="6:7" x14ac:dyDescent="0.2">
      <c r="F165" s="215"/>
      <c r="G165" s="215"/>
    </row>
    <row r="166" spans="6:7" x14ac:dyDescent="0.2">
      <c r="F166" s="215"/>
      <c r="G166" s="215"/>
    </row>
    <row r="167" spans="6:7" x14ac:dyDescent="0.2">
      <c r="F167" s="215"/>
      <c r="G167" s="215"/>
    </row>
    <row r="168" spans="6:7" x14ac:dyDescent="0.2">
      <c r="F168" s="215"/>
      <c r="G168" s="215"/>
    </row>
    <row r="169" spans="6:7" x14ac:dyDescent="0.2">
      <c r="F169" s="215"/>
      <c r="G169" s="215"/>
    </row>
    <row r="170" spans="6:7" x14ac:dyDescent="0.2">
      <c r="F170" s="215"/>
      <c r="G170" s="215"/>
    </row>
    <row r="171" spans="6:7" x14ac:dyDescent="0.2">
      <c r="F171" s="215"/>
      <c r="G171" s="215"/>
    </row>
    <row r="172" spans="6:7" x14ac:dyDescent="0.2">
      <c r="F172" s="215"/>
      <c r="G172" s="215"/>
    </row>
    <row r="173" spans="6:7" x14ac:dyDescent="0.2">
      <c r="F173" s="215"/>
      <c r="G173" s="215"/>
    </row>
    <row r="174" spans="6:7" x14ac:dyDescent="0.2">
      <c r="F174" s="215"/>
      <c r="G174" s="215"/>
    </row>
    <row r="175" spans="6:7" x14ac:dyDescent="0.2">
      <c r="F175" s="215"/>
      <c r="G175" s="215"/>
    </row>
    <row r="176" spans="6:7" x14ac:dyDescent="0.2">
      <c r="F176" s="215"/>
      <c r="G176" s="215"/>
    </row>
    <row r="177" spans="6:7" x14ac:dyDescent="0.2">
      <c r="F177" s="215"/>
      <c r="G177" s="215"/>
    </row>
    <row r="178" spans="6:7" x14ac:dyDescent="0.2">
      <c r="F178" s="215"/>
      <c r="G178" s="215"/>
    </row>
    <row r="179" spans="6:7" x14ac:dyDescent="0.2">
      <c r="F179" s="215"/>
      <c r="G179" s="215"/>
    </row>
    <row r="180" spans="6:7" x14ac:dyDescent="0.2">
      <c r="F180" s="215"/>
      <c r="G180" s="215"/>
    </row>
    <row r="181" spans="6:7" x14ac:dyDescent="0.2">
      <c r="F181" s="215"/>
      <c r="G181" s="215"/>
    </row>
    <row r="182" spans="6:7" x14ac:dyDescent="0.2">
      <c r="F182" s="215"/>
      <c r="G182" s="215"/>
    </row>
    <row r="183" spans="6:7" x14ac:dyDescent="0.2">
      <c r="F183" s="215"/>
      <c r="G183" s="215"/>
    </row>
    <row r="184" spans="6:7" x14ac:dyDescent="0.2">
      <c r="F184" s="215"/>
      <c r="G184" s="215"/>
    </row>
    <row r="185" spans="6:7" x14ac:dyDescent="0.2">
      <c r="F185" s="215"/>
      <c r="G185" s="215"/>
    </row>
    <row r="186" spans="6:7" x14ac:dyDescent="0.2">
      <c r="F186" s="215"/>
      <c r="G186" s="215"/>
    </row>
    <row r="187" spans="6:7" x14ac:dyDescent="0.2">
      <c r="F187" s="215"/>
      <c r="G187" s="215"/>
    </row>
    <row r="188" spans="6:7" x14ac:dyDescent="0.2">
      <c r="F188" s="215"/>
      <c r="G188" s="215"/>
    </row>
    <row r="189" spans="6:7" x14ac:dyDescent="0.2">
      <c r="F189" s="215"/>
      <c r="G189" s="215"/>
    </row>
    <row r="190" spans="6:7" x14ac:dyDescent="0.2">
      <c r="F190" s="215"/>
      <c r="G190" s="215"/>
    </row>
    <row r="191" spans="6:7" x14ac:dyDescent="0.2">
      <c r="F191" s="215"/>
      <c r="G191" s="215"/>
    </row>
    <row r="192" spans="6:7" x14ac:dyDescent="0.2">
      <c r="F192" s="215"/>
      <c r="G192" s="215"/>
    </row>
    <row r="193" spans="6:7" x14ac:dyDescent="0.2">
      <c r="F193" s="215"/>
      <c r="G193" s="215"/>
    </row>
    <row r="194" spans="6:7" x14ac:dyDescent="0.2">
      <c r="F194" s="215"/>
      <c r="G194" s="215"/>
    </row>
    <row r="195" spans="6:7" x14ac:dyDescent="0.2">
      <c r="F195" s="215"/>
      <c r="G195" s="215"/>
    </row>
    <row r="196" spans="6:7" x14ac:dyDescent="0.2">
      <c r="F196" s="215"/>
      <c r="G196" s="215"/>
    </row>
    <row r="197" spans="6:7" x14ac:dyDescent="0.2">
      <c r="F197" s="215"/>
      <c r="G197" s="215"/>
    </row>
    <row r="198" spans="6:7" x14ac:dyDescent="0.2">
      <c r="F198" s="215"/>
      <c r="G198" s="215"/>
    </row>
    <row r="199" spans="6:7" x14ac:dyDescent="0.2">
      <c r="F199" s="215"/>
      <c r="G199" s="215"/>
    </row>
    <row r="200" spans="6:7" x14ac:dyDescent="0.2">
      <c r="F200" s="215"/>
      <c r="G200" s="215"/>
    </row>
    <row r="201" spans="6:7" x14ac:dyDescent="0.2">
      <c r="F201" s="215"/>
      <c r="G201" s="215"/>
    </row>
    <row r="202" spans="6:7" x14ac:dyDescent="0.2">
      <c r="G202" s="215"/>
    </row>
    <row r="203" spans="6:7" x14ac:dyDescent="0.2">
      <c r="G203" s="215"/>
    </row>
    <row r="204" spans="6:7" x14ac:dyDescent="0.2">
      <c r="G204" s="215"/>
    </row>
    <row r="205" spans="6:7" x14ac:dyDescent="0.2">
      <c r="G205" s="215"/>
    </row>
    <row r="206" spans="6:7" x14ac:dyDescent="0.2">
      <c r="G206" s="215"/>
    </row>
    <row r="207" spans="6:7" x14ac:dyDescent="0.2">
      <c r="G207" s="215"/>
    </row>
    <row r="208" spans="6:7" x14ac:dyDescent="0.2">
      <c r="G208" s="215"/>
    </row>
    <row r="209" spans="7:7" x14ac:dyDescent="0.2">
      <c r="G209" s="215"/>
    </row>
    <row r="210" spans="7:7" x14ac:dyDescent="0.2">
      <c r="G210" s="215"/>
    </row>
    <row r="211" spans="7:7" x14ac:dyDescent="0.2">
      <c r="G211" s="215"/>
    </row>
    <row r="212" spans="7:7" x14ac:dyDescent="0.2">
      <c r="G212" s="215"/>
    </row>
    <row r="213" spans="7:7" x14ac:dyDescent="0.2">
      <c r="G213" s="215"/>
    </row>
    <row r="214" spans="7:7" x14ac:dyDescent="0.2">
      <c r="G214" s="215"/>
    </row>
    <row r="215" spans="7:7" x14ac:dyDescent="0.2">
      <c r="G215" s="215"/>
    </row>
    <row r="216" spans="7:7" x14ac:dyDescent="0.2">
      <c r="G216" s="215"/>
    </row>
    <row r="217" spans="7:7" x14ac:dyDescent="0.2">
      <c r="G217" s="215"/>
    </row>
    <row r="218" spans="7:7" x14ac:dyDescent="0.2">
      <c r="G218" s="215"/>
    </row>
    <row r="219" spans="7:7" x14ac:dyDescent="0.2">
      <c r="G219" s="215"/>
    </row>
    <row r="220" spans="7:7" x14ac:dyDescent="0.2">
      <c r="G220" s="215"/>
    </row>
    <row r="221" spans="7:7" x14ac:dyDescent="0.2">
      <c r="G221" s="215"/>
    </row>
    <row r="222" spans="7:7" x14ac:dyDescent="0.2">
      <c r="G222" s="215"/>
    </row>
    <row r="223" spans="7:7" x14ac:dyDescent="0.2">
      <c r="G223" s="215"/>
    </row>
    <row r="224" spans="7:7" x14ac:dyDescent="0.2">
      <c r="G224" s="215"/>
    </row>
    <row r="225" spans="7:7" x14ac:dyDescent="0.2">
      <c r="G225" s="215"/>
    </row>
    <row r="226" spans="7:7" x14ac:dyDescent="0.2">
      <c r="G226" s="215"/>
    </row>
    <row r="227" spans="7:7" x14ac:dyDescent="0.2">
      <c r="G227" s="215"/>
    </row>
    <row r="228" spans="7:7" x14ac:dyDescent="0.2">
      <c r="G228" s="215"/>
    </row>
    <row r="229" spans="7:7" x14ac:dyDescent="0.2">
      <c r="G229" s="215"/>
    </row>
    <row r="230" spans="7:7" x14ac:dyDescent="0.2">
      <c r="G230" s="215"/>
    </row>
    <row r="231" spans="7:7" x14ac:dyDescent="0.2">
      <c r="G231" s="215"/>
    </row>
    <row r="232" spans="7:7" x14ac:dyDescent="0.2">
      <c r="G232" s="215"/>
    </row>
    <row r="233" spans="7:7" x14ac:dyDescent="0.2">
      <c r="G233" s="215"/>
    </row>
    <row r="234" spans="7:7" x14ac:dyDescent="0.2">
      <c r="G234" s="215"/>
    </row>
    <row r="235" spans="7:7" x14ac:dyDescent="0.2">
      <c r="G235" s="215"/>
    </row>
    <row r="236" spans="7:7" x14ac:dyDescent="0.2">
      <c r="G236" s="215"/>
    </row>
    <row r="237" spans="7:7" x14ac:dyDescent="0.2">
      <c r="G237" s="215"/>
    </row>
    <row r="238" spans="7:7" x14ac:dyDescent="0.2">
      <c r="G238" s="215"/>
    </row>
    <row r="239" spans="7:7" x14ac:dyDescent="0.2">
      <c r="G239" s="215"/>
    </row>
    <row r="240" spans="7:7" x14ac:dyDescent="0.2">
      <c r="G240" s="215"/>
    </row>
    <row r="241" spans="7:7" x14ac:dyDescent="0.2">
      <c r="G241" s="215"/>
    </row>
    <row r="242" spans="7:7" x14ac:dyDescent="0.2">
      <c r="G242" s="215"/>
    </row>
    <row r="243" spans="7:7" x14ac:dyDescent="0.2">
      <c r="G243" s="215"/>
    </row>
    <row r="244" spans="7:7" x14ac:dyDescent="0.2">
      <c r="G244" s="215"/>
    </row>
    <row r="245" spans="7:7" x14ac:dyDescent="0.2">
      <c r="G245" s="215"/>
    </row>
    <row r="246" spans="7:7" x14ac:dyDescent="0.2">
      <c r="G246" s="215"/>
    </row>
    <row r="247" spans="7:7" x14ac:dyDescent="0.2">
      <c r="G247" s="215"/>
    </row>
    <row r="248" spans="7:7" x14ac:dyDescent="0.2">
      <c r="G248" s="215"/>
    </row>
    <row r="249" spans="7:7" x14ac:dyDescent="0.2">
      <c r="G249" s="215"/>
    </row>
    <row r="250" spans="7:7" x14ac:dyDescent="0.2">
      <c r="G250" s="215"/>
    </row>
    <row r="251" spans="7:7" x14ac:dyDescent="0.2">
      <c r="G251" s="215"/>
    </row>
    <row r="252" spans="7:7" x14ac:dyDescent="0.2">
      <c r="G252" s="215"/>
    </row>
    <row r="253" spans="7:7" x14ac:dyDescent="0.2">
      <c r="G253" s="215"/>
    </row>
    <row r="254" spans="7:7" x14ac:dyDescent="0.2">
      <c r="G254" s="215"/>
    </row>
    <row r="255" spans="7:7" x14ac:dyDescent="0.2">
      <c r="G255" s="215"/>
    </row>
    <row r="256" spans="7:7" x14ac:dyDescent="0.2">
      <c r="G256" s="215"/>
    </row>
    <row r="257" spans="7:7" x14ac:dyDescent="0.2">
      <c r="G257" s="215"/>
    </row>
    <row r="258" spans="7:7" x14ac:dyDescent="0.2">
      <c r="G258" s="215"/>
    </row>
    <row r="259" spans="7:7" x14ac:dyDescent="0.2">
      <c r="G259" s="215"/>
    </row>
    <row r="260" spans="7:7" x14ac:dyDescent="0.2">
      <c r="G260" s="215"/>
    </row>
    <row r="261" spans="7:7" x14ac:dyDescent="0.2">
      <c r="G261" s="215"/>
    </row>
    <row r="262" spans="7:7" x14ac:dyDescent="0.2">
      <c r="G262" s="215"/>
    </row>
    <row r="263" spans="7:7" x14ac:dyDescent="0.2">
      <c r="G263" s="215"/>
    </row>
    <row r="264" spans="7:7" x14ac:dyDescent="0.2">
      <c r="G264" s="215"/>
    </row>
    <row r="265" spans="7:7" x14ac:dyDescent="0.2">
      <c r="G265" s="215"/>
    </row>
    <row r="266" spans="7:7" x14ac:dyDescent="0.2">
      <c r="G266" s="215"/>
    </row>
    <row r="267" spans="7:7" x14ac:dyDescent="0.2">
      <c r="G267" s="215"/>
    </row>
    <row r="268" spans="7:7" x14ac:dyDescent="0.2">
      <c r="G268" s="215"/>
    </row>
    <row r="269" spans="7:7" x14ac:dyDescent="0.2">
      <c r="G269" s="215"/>
    </row>
    <row r="270" spans="7:7" x14ac:dyDescent="0.2">
      <c r="G270" s="215"/>
    </row>
    <row r="271" spans="7:7" x14ac:dyDescent="0.2">
      <c r="G271" s="215"/>
    </row>
    <row r="272" spans="7:7" x14ac:dyDescent="0.2">
      <c r="G272" s="215"/>
    </row>
    <row r="273" spans="7:7" x14ac:dyDescent="0.2">
      <c r="G273" s="215"/>
    </row>
    <row r="274" spans="7:7" x14ac:dyDescent="0.2">
      <c r="G274" s="215"/>
    </row>
    <row r="275" spans="7:7" x14ac:dyDescent="0.2">
      <c r="G275" s="215"/>
    </row>
    <row r="276" spans="7:7" x14ac:dyDescent="0.2">
      <c r="G276" s="215"/>
    </row>
    <row r="277" spans="7:7" x14ac:dyDescent="0.2">
      <c r="G277" s="215"/>
    </row>
    <row r="278" spans="7:7" x14ac:dyDescent="0.2">
      <c r="G278" s="215"/>
    </row>
    <row r="279" spans="7:7" x14ac:dyDescent="0.2">
      <c r="G279" s="215"/>
    </row>
    <row r="280" spans="7:7" x14ac:dyDescent="0.2">
      <c r="G280" s="215"/>
    </row>
    <row r="281" spans="7:7" x14ac:dyDescent="0.2">
      <c r="G281" s="215"/>
    </row>
    <row r="282" spans="7:7" x14ac:dyDescent="0.2">
      <c r="G282" s="215"/>
    </row>
    <row r="283" spans="7:7" x14ac:dyDescent="0.2">
      <c r="G283" s="215"/>
    </row>
    <row r="284" spans="7:7" x14ac:dyDescent="0.2">
      <c r="G284" s="215"/>
    </row>
    <row r="285" spans="7:7" x14ac:dyDescent="0.2">
      <c r="G285" s="215"/>
    </row>
    <row r="286" spans="7:7" x14ac:dyDescent="0.2">
      <c r="G286" s="215"/>
    </row>
    <row r="287" spans="7:7" x14ac:dyDescent="0.2">
      <c r="G287" s="215"/>
    </row>
    <row r="288" spans="7:7" x14ac:dyDescent="0.2">
      <c r="G288" s="215"/>
    </row>
    <row r="289" spans="7:7" x14ac:dyDescent="0.2">
      <c r="G289" s="215"/>
    </row>
    <row r="290" spans="7:7" x14ac:dyDescent="0.2">
      <c r="G290" s="215"/>
    </row>
    <row r="291" spans="7:7" x14ac:dyDescent="0.2">
      <c r="G291" s="215"/>
    </row>
    <row r="292" spans="7:7" x14ac:dyDescent="0.2">
      <c r="G292" s="215"/>
    </row>
    <row r="293" spans="7:7" x14ac:dyDescent="0.2">
      <c r="G293" s="215"/>
    </row>
    <row r="294" spans="7:7" x14ac:dyDescent="0.2">
      <c r="G294" s="215"/>
    </row>
    <row r="295" spans="7:7" x14ac:dyDescent="0.2">
      <c r="G295" s="215"/>
    </row>
    <row r="296" spans="7:7" x14ac:dyDescent="0.2">
      <c r="G296" s="215"/>
    </row>
    <row r="297" spans="7:7" x14ac:dyDescent="0.2">
      <c r="G297" s="215"/>
    </row>
    <row r="298" spans="7:7" x14ac:dyDescent="0.2">
      <c r="G298" s="215"/>
    </row>
    <row r="299" spans="7:7" x14ac:dyDescent="0.2">
      <c r="G299" s="215"/>
    </row>
    <row r="300" spans="7:7" x14ac:dyDescent="0.2">
      <c r="G300" s="215"/>
    </row>
    <row r="301" spans="7:7" x14ac:dyDescent="0.2">
      <c r="G301" s="215"/>
    </row>
    <row r="302" spans="7:7" x14ac:dyDescent="0.2">
      <c r="G302" s="215"/>
    </row>
    <row r="303" spans="7:7" x14ac:dyDescent="0.2">
      <c r="G303" s="215"/>
    </row>
    <row r="304" spans="7:7" x14ac:dyDescent="0.2">
      <c r="G304" s="215"/>
    </row>
    <row r="305" spans="7:7" x14ac:dyDescent="0.2">
      <c r="G305" s="215"/>
    </row>
    <row r="306" spans="7:7" x14ac:dyDescent="0.2">
      <c r="G306" s="215"/>
    </row>
    <row r="307" spans="7:7" x14ac:dyDescent="0.2">
      <c r="G307" s="215"/>
    </row>
    <row r="308" spans="7:7" x14ac:dyDescent="0.2">
      <c r="G308" s="215"/>
    </row>
    <row r="309" spans="7:7" x14ac:dyDescent="0.2">
      <c r="G309" s="215"/>
    </row>
    <row r="310" spans="7:7" x14ac:dyDescent="0.2">
      <c r="G310" s="215"/>
    </row>
    <row r="311" spans="7:7" x14ac:dyDescent="0.2">
      <c r="G311" s="215"/>
    </row>
    <row r="312" spans="7:7" x14ac:dyDescent="0.2">
      <c r="G312" s="215"/>
    </row>
    <row r="313" spans="7:7" x14ac:dyDescent="0.2">
      <c r="G313" s="215"/>
    </row>
    <row r="314" spans="7:7" x14ac:dyDescent="0.2">
      <c r="G314" s="215"/>
    </row>
    <row r="315" spans="7:7" x14ac:dyDescent="0.2">
      <c r="G315" s="215"/>
    </row>
    <row r="316" spans="7:7" x14ac:dyDescent="0.2">
      <c r="G316" s="215"/>
    </row>
    <row r="317" spans="7:7" x14ac:dyDescent="0.2">
      <c r="G317" s="215"/>
    </row>
    <row r="318" spans="7:7" x14ac:dyDescent="0.2">
      <c r="G318" s="215"/>
    </row>
    <row r="319" spans="7:7" x14ac:dyDescent="0.2">
      <c r="G319" s="215"/>
    </row>
    <row r="320" spans="7:7" x14ac:dyDescent="0.2">
      <c r="G320" s="215"/>
    </row>
    <row r="321" spans="7:7" x14ac:dyDescent="0.2">
      <c r="G321" s="215"/>
    </row>
    <row r="322" spans="7:7" x14ac:dyDescent="0.2">
      <c r="G322" s="215"/>
    </row>
    <row r="323" spans="7:7" x14ac:dyDescent="0.2">
      <c r="G323" s="215"/>
    </row>
    <row r="324" spans="7:7" x14ac:dyDescent="0.2">
      <c r="G324" s="215"/>
    </row>
    <row r="325" spans="7:7" x14ac:dyDescent="0.2">
      <c r="G325" s="215"/>
    </row>
    <row r="326" spans="7:7" x14ac:dyDescent="0.2">
      <c r="G326" s="215"/>
    </row>
    <row r="327" spans="7:7" x14ac:dyDescent="0.2">
      <c r="G327" s="215"/>
    </row>
    <row r="328" spans="7:7" x14ac:dyDescent="0.2">
      <c r="G328" s="215"/>
    </row>
    <row r="329" spans="7:7" x14ac:dyDescent="0.2">
      <c r="G329" s="215"/>
    </row>
    <row r="330" spans="7:7" x14ac:dyDescent="0.2">
      <c r="G330" s="215"/>
    </row>
    <row r="331" spans="7:7" x14ac:dyDescent="0.2">
      <c r="G331" s="215"/>
    </row>
    <row r="332" spans="7:7" x14ac:dyDescent="0.2">
      <c r="G332" s="215"/>
    </row>
    <row r="333" spans="7:7" x14ac:dyDescent="0.2">
      <c r="G333" s="215"/>
    </row>
    <row r="334" spans="7:7" x14ac:dyDescent="0.2">
      <c r="G334" s="215"/>
    </row>
    <row r="335" spans="7:7" x14ac:dyDescent="0.2">
      <c r="G335" s="215"/>
    </row>
    <row r="336" spans="7:7" x14ac:dyDescent="0.2">
      <c r="G336" s="215"/>
    </row>
    <row r="337" spans="7:7" x14ac:dyDescent="0.2">
      <c r="G337" s="215"/>
    </row>
    <row r="338" spans="7:7" x14ac:dyDescent="0.2">
      <c r="G338" s="215"/>
    </row>
    <row r="339" spans="7:7" x14ac:dyDescent="0.2">
      <c r="G339" s="215"/>
    </row>
    <row r="340" spans="7:7" x14ac:dyDescent="0.2">
      <c r="G340" s="215"/>
    </row>
    <row r="341" spans="7:7" x14ac:dyDescent="0.2">
      <c r="G341" s="215"/>
    </row>
    <row r="342" spans="7:7" x14ac:dyDescent="0.2">
      <c r="G342" s="215"/>
    </row>
    <row r="343" spans="7:7" x14ac:dyDescent="0.2">
      <c r="G343" s="215"/>
    </row>
    <row r="344" spans="7:7" x14ac:dyDescent="0.2">
      <c r="G344" s="215"/>
    </row>
    <row r="345" spans="7:7" x14ac:dyDescent="0.2">
      <c r="G345" s="215"/>
    </row>
    <row r="346" spans="7:7" x14ac:dyDescent="0.2">
      <c r="G346" s="215"/>
    </row>
    <row r="347" spans="7:7" x14ac:dyDescent="0.2">
      <c r="G347" s="215"/>
    </row>
    <row r="348" spans="7:7" x14ac:dyDescent="0.2">
      <c r="G348" s="215"/>
    </row>
    <row r="349" spans="7:7" x14ac:dyDescent="0.2">
      <c r="G349" s="215"/>
    </row>
    <row r="350" spans="7:7" x14ac:dyDescent="0.2">
      <c r="G350" s="215"/>
    </row>
    <row r="351" spans="7:7" x14ac:dyDescent="0.2">
      <c r="G351" s="215"/>
    </row>
    <row r="352" spans="7:7" x14ac:dyDescent="0.2">
      <c r="G352" s="215"/>
    </row>
    <row r="353" spans="7:7" x14ac:dyDescent="0.2">
      <c r="G353" s="215"/>
    </row>
  </sheetData>
  <mergeCells count="2">
    <mergeCell ref="D1:E1"/>
    <mergeCell ref="F1:G1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opLeftCell="B2" workbookViewId="0">
      <selection activeCell="O37" sqref="O37"/>
    </sheetView>
  </sheetViews>
  <sheetFormatPr defaultRowHeight="12.75" x14ac:dyDescent="0.2"/>
  <cols>
    <col min="1" max="1" width="3" style="209" bestFit="1" customWidth="1"/>
    <col min="2" max="2" width="25.28515625" style="208" customWidth="1"/>
    <col min="3" max="20" width="6.5703125" style="208" customWidth="1"/>
    <col min="21" max="16384" width="9.140625" style="208"/>
  </cols>
  <sheetData>
    <row r="1" spans="1:25" hidden="1" x14ac:dyDescent="0.2"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</row>
    <row r="2" spans="1:25" x14ac:dyDescent="0.2">
      <c r="C2" s="2">
        <v>5</v>
      </c>
      <c r="D2" s="2">
        <v>6</v>
      </c>
      <c r="E2" s="2">
        <v>7</v>
      </c>
      <c r="F2" s="2">
        <v>8</v>
      </c>
      <c r="G2" s="2">
        <v>9</v>
      </c>
      <c r="H2" s="2">
        <v>10</v>
      </c>
      <c r="I2" s="2">
        <v>11</v>
      </c>
      <c r="J2" s="2">
        <v>12</v>
      </c>
      <c r="K2" s="2">
        <v>13</v>
      </c>
      <c r="L2" s="2">
        <v>14</v>
      </c>
      <c r="M2" s="2">
        <v>15</v>
      </c>
      <c r="N2" s="2">
        <v>16</v>
      </c>
      <c r="O2" s="2">
        <v>17</v>
      </c>
      <c r="P2" s="2">
        <v>18</v>
      </c>
      <c r="Q2" s="2">
        <v>19</v>
      </c>
      <c r="R2" s="2">
        <v>20</v>
      </c>
      <c r="S2" s="2">
        <v>21</v>
      </c>
      <c r="T2" s="2">
        <v>22</v>
      </c>
    </row>
    <row r="3" spans="1:25" x14ac:dyDescent="0.2">
      <c r="A3" s="209">
        <v>60</v>
      </c>
      <c r="B3" s="209" t="s">
        <v>135</v>
      </c>
      <c r="C3" s="210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</row>
    <row r="4" spans="1:25" x14ac:dyDescent="0.2">
      <c r="A4" s="209">
        <v>2</v>
      </c>
      <c r="B4" s="211" t="s">
        <v>152</v>
      </c>
      <c r="C4" s="212">
        <f>100-SUM(D4:T4)</f>
        <v>63</v>
      </c>
      <c r="D4" s="209">
        <v>2</v>
      </c>
      <c r="E4" s="209">
        <v>2</v>
      </c>
      <c r="F4" s="209">
        <v>2</v>
      </c>
      <c r="G4" s="209">
        <v>2</v>
      </c>
      <c r="H4" s="209">
        <v>2</v>
      </c>
      <c r="I4" s="209">
        <v>2</v>
      </c>
      <c r="J4" s="209">
        <v>2</v>
      </c>
      <c r="K4" s="209">
        <v>2</v>
      </c>
      <c r="L4" s="209">
        <v>2</v>
      </c>
      <c r="M4" s="209">
        <v>2</v>
      </c>
      <c r="N4" s="209">
        <v>2</v>
      </c>
      <c r="O4" s="209">
        <v>2</v>
      </c>
      <c r="P4" s="209">
        <v>2</v>
      </c>
      <c r="Q4" s="209">
        <v>2</v>
      </c>
      <c r="R4" s="209">
        <v>2</v>
      </c>
      <c r="S4" s="209">
        <v>2</v>
      </c>
      <c r="T4" s="209">
        <v>5</v>
      </c>
      <c r="U4" s="209"/>
      <c r="V4" s="209"/>
      <c r="W4" s="209"/>
      <c r="X4" s="209"/>
      <c r="Y4" s="209"/>
    </row>
    <row r="5" spans="1:25" x14ac:dyDescent="0.2">
      <c r="A5" s="209">
        <v>61</v>
      </c>
      <c r="B5" s="209" t="s">
        <v>349</v>
      </c>
      <c r="C5" s="210"/>
      <c r="D5" s="210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</row>
    <row r="6" spans="1:25" x14ac:dyDescent="0.2">
      <c r="A6" s="209">
        <v>4</v>
      </c>
      <c r="B6" s="211" t="s">
        <v>136</v>
      </c>
      <c r="C6" s="212">
        <v>100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</row>
    <row r="7" spans="1:25" x14ac:dyDescent="0.2">
      <c r="A7" s="209">
        <v>5</v>
      </c>
      <c r="B7" s="211" t="s">
        <v>137</v>
      </c>
      <c r="C7" s="212">
        <v>50</v>
      </c>
      <c r="D7" s="212">
        <v>50</v>
      </c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</row>
    <row r="8" spans="1:25" x14ac:dyDescent="0.2">
      <c r="A8" s="209">
        <v>6</v>
      </c>
      <c r="B8" s="211" t="s">
        <v>138</v>
      </c>
      <c r="C8" s="209"/>
      <c r="D8" s="212">
        <v>100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</row>
    <row r="9" spans="1:25" x14ac:dyDescent="0.2">
      <c r="A9" s="209">
        <v>62</v>
      </c>
      <c r="B9" s="209" t="s">
        <v>356</v>
      </c>
      <c r="C9" s="209"/>
      <c r="D9" s="210"/>
      <c r="E9" s="210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</row>
    <row r="10" spans="1:25" x14ac:dyDescent="0.2">
      <c r="A10" s="209">
        <v>8</v>
      </c>
      <c r="B10" s="211" t="s">
        <v>136</v>
      </c>
      <c r="C10" s="209"/>
      <c r="D10" s="212">
        <v>100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</row>
    <row r="11" spans="1:25" x14ac:dyDescent="0.2">
      <c r="A11" s="209">
        <v>9</v>
      </c>
      <c r="B11" s="211" t="s">
        <v>139</v>
      </c>
      <c r="C11" s="209"/>
      <c r="D11" s="212">
        <v>50</v>
      </c>
      <c r="E11" s="212">
        <v>50</v>
      </c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</row>
    <row r="12" spans="1:25" x14ac:dyDescent="0.2">
      <c r="A12" s="209">
        <v>63</v>
      </c>
      <c r="B12" s="209" t="s">
        <v>129</v>
      </c>
      <c r="C12" s="209"/>
      <c r="D12" s="209"/>
      <c r="E12" s="210"/>
      <c r="F12" s="210"/>
      <c r="G12" s="210"/>
      <c r="H12" s="210"/>
      <c r="I12" s="210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</row>
    <row r="13" spans="1:25" x14ac:dyDescent="0.2">
      <c r="A13" s="209">
        <v>11</v>
      </c>
      <c r="B13" s="211" t="s">
        <v>136</v>
      </c>
      <c r="C13" s="209"/>
      <c r="D13" s="209"/>
      <c r="E13" s="212">
        <v>100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</row>
    <row r="14" spans="1:25" x14ac:dyDescent="0.2">
      <c r="A14" s="209">
        <v>12</v>
      </c>
      <c r="B14" s="211" t="s">
        <v>137</v>
      </c>
      <c r="C14" s="209"/>
      <c r="D14" s="209"/>
      <c r="E14" s="212">
        <v>33</v>
      </c>
      <c r="F14" s="212">
        <v>33</v>
      </c>
      <c r="G14" s="209"/>
      <c r="H14" s="212">
        <v>34</v>
      </c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</row>
    <row r="15" spans="1:25" x14ac:dyDescent="0.2">
      <c r="A15" s="209">
        <v>13</v>
      </c>
      <c r="B15" s="211" t="s">
        <v>140</v>
      </c>
      <c r="C15" s="209"/>
      <c r="D15" s="209"/>
      <c r="E15" s="209"/>
      <c r="F15" s="212">
        <v>33</v>
      </c>
      <c r="G15" s="212">
        <v>33</v>
      </c>
      <c r="H15" s="212">
        <v>34</v>
      </c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</row>
    <row r="16" spans="1:25" x14ac:dyDescent="0.2">
      <c r="A16" s="209">
        <v>64</v>
      </c>
      <c r="B16" s="211" t="s">
        <v>141</v>
      </c>
      <c r="C16" s="209"/>
      <c r="D16" s="209"/>
      <c r="E16" s="209"/>
      <c r="F16" s="209"/>
      <c r="G16" s="209"/>
      <c r="H16" s="212">
        <v>50</v>
      </c>
      <c r="I16" s="212">
        <v>50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</row>
    <row r="17" spans="1:25" x14ac:dyDescent="0.2">
      <c r="A17" s="209">
        <v>15</v>
      </c>
      <c r="B17" s="211" t="s">
        <v>142</v>
      </c>
      <c r="C17" s="209"/>
      <c r="D17" s="209"/>
      <c r="E17" s="209"/>
      <c r="F17" s="209"/>
      <c r="G17" s="209"/>
      <c r="H17" s="209"/>
      <c r="I17" s="212">
        <v>100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</row>
    <row r="18" spans="1:25" x14ac:dyDescent="0.2">
      <c r="A18" s="209">
        <v>65</v>
      </c>
      <c r="B18" s="209" t="s">
        <v>130</v>
      </c>
      <c r="C18" s="209"/>
      <c r="D18" s="209"/>
      <c r="E18" s="209"/>
      <c r="F18" s="209"/>
      <c r="G18" s="210"/>
      <c r="H18" s="210"/>
      <c r="I18" s="210"/>
      <c r="J18" s="210"/>
      <c r="K18" s="210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</row>
    <row r="19" spans="1:25" x14ac:dyDescent="0.2">
      <c r="A19" s="209">
        <v>17</v>
      </c>
      <c r="B19" s="211" t="s">
        <v>136</v>
      </c>
      <c r="C19" s="209"/>
      <c r="D19" s="209"/>
      <c r="E19" s="209"/>
      <c r="F19" s="209"/>
      <c r="G19" s="212">
        <v>100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</row>
    <row r="20" spans="1:25" x14ac:dyDescent="0.2">
      <c r="A20" s="209">
        <v>18</v>
      </c>
      <c r="B20" s="211" t="s">
        <v>143</v>
      </c>
      <c r="C20" s="209"/>
      <c r="D20" s="209"/>
      <c r="E20" s="209"/>
      <c r="F20" s="209"/>
      <c r="G20" s="212">
        <v>50</v>
      </c>
      <c r="H20" s="212">
        <v>50</v>
      </c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x14ac:dyDescent="0.2">
      <c r="A21" s="209">
        <v>19</v>
      </c>
      <c r="B21" s="211" t="s">
        <v>140</v>
      </c>
      <c r="C21" s="209"/>
      <c r="D21" s="209"/>
      <c r="E21" s="209"/>
      <c r="F21" s="209"/>
      <c r="G21" s="209"/>
      <c r="H21" s="212">
        <v>33</v>
      </c>
      <c r="I21" s="212">
        <v>33</v>
      </c>
      <c r="J21" s="212">
        <v>34</v>
      </c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  <row r="22" spans="1:25" x14ac:dyDescent="0.2">
      <c r="A22" s="209">
        <v>20</v>
      </c>
      <c r="B22" s="211" t="s">
        <v>141</v>
      </c>
      <c r="C22" s="209"/>
      <c r="D22" s="209"/>
      <c r="E22" s="209"/>
      <c r="F22" s="209"/>
      <c r="G22" s="209"/>
      <c r="H22" s="209"/>
      <c r="I22" s="209"/>
      <c r="J22" s="212">
        <v>50</v>
      </c>
      <c r="K22" s="212">
        <v>50</v>
      </c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</row>
    <row r="23" spans="1:25" x14ac:dyDescent="0.2">
      <c r="A23" s="209">
        <v>66</v>
      </c>
      <c r="B23" s="209" t="s">
        <v>340</v>
      </c>
      <c r="C23" s="209"/>
      <c r="D23" s="209"/>
      <c r="E23" s="209"/>
      <c r="F23" s="209"/>
      <c r="G23" s="209"/>
      <c r="H23" s="209"/>
      <c r="I23" s="210"/>
      <c r="J23" s="210"/>
      <c r="K23" s="210"/>
      <c r="L23" s="210"/>
      <c r="M23" s="210"/>
      <c r="N23" s="210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</row>
    <row r="24" spans="1:25" x14ac:dyDescent="0.2">
      <c r="A24" s="209">
        <v>22</v>
      </c>
      <c r="B24" s="211" t="s">
        <v>136</v>
      </c>
      <c r="C24" s="209"/>
      <c r="D24" s="209"/>
      <c r="E24" s="209"/>
      <c r="F24" s="209"/>
      <c r="G24" s="209"/>
      <c r="H24" s="209"/>
      <c r="I24" s="212">
        <v>100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</row>
    <row r="25" spans="1:25" x14ac:dyDescent="0.2">
      <c r="A25" s="209">
        <v>23</v>
      </c>
      <c r="B25" s="211" t="s">
        <v>143</v>
      </c>
      <c r="C25" s="209"/>
      <c r="D25" s="209"/>
      <c r="E25" s="209"/>
      <c r="F25" s="209"/>
      <c r="G25" s="209"/>
      <c r="H25" s="209"/>
      <c r="I25" s="212">
        <v>50</v>
      </c>
      <c r="J25" s="212">
        <v>50</v>
      </c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</row>
    <row r="26" spans="1:25" x14ac:dyDescent="0.2">
      <c r="A26" s="209">
        <v>24</v>
      </c>
      <c r="B26" s="211" t="s">
        <v>140</v>
      </c>
      <c r="C26" s="209"/>
      <c r="D26" s="209"/>
      <c r="E26" s="209"/>
      <c r="F26" s="209"/>
      <c r="G26" s="209"/>
      <c r="H26" s="209"/>
      <c r="I26" s="209"/>
      <c r="J26" s="212">
        <v>33</v>
      </c>
      <c r="K26" s="212">
        <v>33</v>
      </c>
      <c r="L26" s="212">
        <v>34</v>
      </c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</row>
    <row r="27" spans="1:25" x14ac:dyDescent="0.2">
      <c r="A27" s="209">
        <v>25</v>
      </c>
      <c r="B27" s="211" t="s">
        <v>141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12">
        <v>50</v>
      </c>
      <c r="M27" s="212">
        <v>50</v>
      </c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</row>
    <row r="28" spans="1:25" x14ac:dyDescent="0.2">
      <c r="A28" s="209">
        <v>26</v>
      </c>
      <c r="B28" s="211" t="s">
        <v>142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12">
        <v>100</v>
      </c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</row>
    <row r="29" spans="1:25" x14ac:dyDescent="0.2">
      <c r="A29" s="209">
        <v>67</v>
      </c>
      <c r="B29" s="209" t="s">
        <v>286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10"/>
      <c r="N29" s="210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</row>
    <row r="30" spans="1:25" x14ac:dyDescent="0.2">
      <c r="A30" s="209">
        <v>28</v>
      </c>
      <c r="B30" s="211" t="s">
        <v>136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12">
        <v>100</v>
      </c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</row>
    <row r="31" spans="1:25" x14ac:dyDescent="0.2">
      <c r="A31" s="209">
        <v>29</v>
      </c>
      <c r="B31" s="211" t="s">
        <v>140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12">
        <v>33</v>
      </c>
      <c r="M31" s="212">
        <v>33</v>
      </c>
      <c r="N31" s="212">
        <v>34</v>
      </c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</row>
    <row r="32" spans="1:25" x14ac:dyDescent="0.2">
      <c r="A32" s="209">
        <v>30</v>
      </c>
      <c r="B32" s="211" t="s">
        <v>144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12">
        <v>100</v>
      </c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</row>
    <row r="33" spans="1:25" x14ac:dyDescent="0.2">
      <c r="A33" s="209">
        <v>68</v>
      </c>
      <c r="B33" s="209" t="s">
        <v>145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10"/>
      <c r="O33" s="210"/>
      <c r="P33" s="209"/>
      <c r="Q33" s="209"/>
      <c r="R33" s="209"/>
      <c r="S33" s="209"/>
      <c r="T33" s="209"/>
      <c r="U33" s="209"/>
      <c r="V33" s="209"/>
      <c r="W33" s="209"/>
      <c r="X33" s="209"/>
      <c r="Y33" s="209"/>
    </row>
    <row r="34" spans="1:25" x14ac:dyDescent="0.2">
      <c r="A34" s="209">
        <v>32</v>
      </c>
      <c r="B34" s="211" t="s">
        <v>137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12">
        <v>50</v>
      </c>
      <c r="O34" s="212">
        <v>50</v>
      </c>
      <c r="P34" s="209"/>
      <c r="Q34" s="209"/>
      <c r="R34" s="209"/>
      <c r="S34" s="209"/>
      <c r="T34" s="209"/>
      <c r="U34" s="209"/>
      <c r="V34" s="209"/>
      <c r="W34" s="209"/>
      <c r="X34" s="209"/>
      <c r="Y34" s="209"/>
    </row>
    <row r="35" spans="1:25" x14ac:dyDescent="0.2">
      <c r="A35" s="209">
        <v>33</v>
      </c>
      <c r="B35" s="211" t="s">
        <v>141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12">
        <v>50</v>
      </c>
      <c r="O35" s="212">
        <v>50</v>
      </c>
      <c r="P35" s="209"/>
      <c r="Q35" s="209"/>
      <c r="R35" s="209"/>
      <c r="S35" s="209"/>
      <c r="T35" s="209"/>
      <c r="U35" s="209"/>
      <c r="V35" s="209"/>
      <c r="W35" s="209"/>
      <c r="X35" s="209"/>
      <c r="Y35" s="209"/>
    </row>
    <row r="36" spans="1:25" x14ac:dyDescent="0.2">
      <c r="A36" s="209">
        <v>69</v>
      </c>
      <c r="B36" s="209" t="s">
        <v>146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10"/>
      <c r="N36" s="210"/>
      <c r="O36" s="210"/>
      <c r="P36" s="209"/>
      <c r="Q36" s="209"/>
      <c r="R36" s="209"/>
      <c r="S36" s="209"/>
      <c r="T36" s="209"/>
      <c r="U36" s="209"/>
      <c r="V36" s="209"/>
      <c r="W36" s="209"/>
      <c r="X36" s="209"/>
      <c r="Y36" s="209"/>
    </row>
    <row r="37" spans="1:25" x14ac:dyDescent="0.2">
      <c r="A37" s="209">
        <v>35</v>
      </c>
      <c r="B37" s="211" t="s">
        <v>136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12">
        <v>100</v>
      </c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</row>
    <row r="38" spans="1:25" x14ac:dyDescent="0.2">
      <c r="A38" s="209">
        <v>36</v>
      </c>
      <c r="B38" s="211" t="s">
        <v>137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12">
        <v>33</v>
      </c>
      <c r="N38" s="212">
        <v>33</v>
      </c>
      <c r="O38" s="212">
        <v>34</v>
      </c>
      <c r="P38" s="209"/>
      <c r="Q38" s="209"/>
      <c r="R38" s="209"/>
      <c r="S38" s="209"/>
      <c r="T38" s="209"/>
      <c r="U38" s="209"/>
      <c r="V38" s="209"/>
      <c r="W38" s="209"/>
      <c r="X38" s="209"/>
      <c r="Y38" s="209"/>
    </row>
    <row r="39" spans="1:25" x14ac:dyDescent="0.2">
      <c r="A39" s="209">
        <v>37</v>
      </c>
      <c r="B39" s="211" t="s">
        <v>140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12">
        <v>50</v>
      </c>
      <c r="O39" s="212">
        <v>50</v>
      </c>
      <c r="P39" s="209"/>
      <c r="Q39" s="209"/>
      <c r="R39" s="209"/>
      <c r="S39" s="209"/>
      <c r="T39" s="209"/>
      <c r="U39" s="209"/>
      <c r="V39" s="209"/>
      <c r="W39" s="209"/>
      <c r="X39" s="209"/>
      <c r="Y39" s="209"/>
    </row>
    <row r="40" spans="1:25" x14ac:dyDescent="0.2">
      <c r="A40" s="209">
        <v>38</v>
      </c>
      <c r="B40" s="211" t="s">
        <v>141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12">
        <v>50</v>
      </c>
      <c r="O40" s="212">
        <v>50</v>
      </c>
      <c r="P40" s="209"/>
      <c r="Q40" s="209"/>
      <c r="R40" s="209"/>
      <c r="S40" s="209"/>
      <c r="T40" s="209"/>
      <c r="U40" s="209"/>
      <c r="V40" s="209"/>
      <c r="W40" s="209"/>
      <c r="X40" s="209"/>
      <c r="Y40" s="209"/>
    </row>
    <row r="41" spans="1:25" x14ac:dyDescent="0.2">
      <c r="A41" s="209">
        <v>70</v>
      </c>
      <c r="B41" s="209" t="s">
        <v>147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10"/>
      <c r="P41" s="210"/>
      <c r="Q41" s="210"/>
      <c r="R41" s="210"/>
      <c r="S41" s="209"/>
      <c r="T41" s="209"/>
      <c r="U41" s="209"/>
      <c r="V41" s="209"/>
      <c r="W41" s="209"/>
      <c r="X41" s="209"/>
      <c r="Y41" s="209"/>
    </row>
    <row r="42" spans="1:25" x14ac:dyDescent="0.2">
      <c r="A42" s="209">
        <v>40</v>
      </c>
      <c r="B42" s="211" t="s">
        <v>136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12">
        <v>100</v>
      </c>
      <c r="P42" s="209"/>
      <c r="Q42" s="209"/>
      <c r="R42" s="209"/>
      <c r="S42" s="209"/>
      <c r="T42" s="209"/>
      <c r="U42" s="209"/>
      <c r="V42" s="209"/>
      <c r="W42" s="209"/>
      <c r="X42" s="209"/>
      <c r="Y42" s="209"/>
    </row>
    <row r="43" spans="1:25" x14ac:dyDescent="0.2">
      <c r="A43" s="209">
        <v>41</v>
      </c>
      <c r="B43" s="211" t="s">
        <v>148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12">
        <v>100</v>
      </c>
      <c r="P43" s="209"/>
      <c r="Q43" s="209"/>
      <c r="R43" s="209"/>
      <c r="S43" s="209"/>
      <c r="T43" s="209"/>
      <c r="U43" s="209"/>
      <c r="V43" s="209"/>
      <c r="W43" s="209"/>
      <c r="X43" s="209"/>
      <c r="Y43" s="209"/>
    </row>
    <row r="44" spans="1:25" x14ac:dyDescent="0.2">
      <c r="A44" s="209">
        <v>42</v>
      </c>
      <c r="B44" s="211" t="s">
        <v>149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2">
        <v>50</v>
      </c>
      <c r="Q44" s="212">
        <v>50</v>
      </c>
      <c r="R44" s="209"/>
      <c r="S44" s="209"/>
      <c r="T44" s="209"/>
      <c r="U44" s="209"/>
      <c r="V44" s="209"/>
      <c r="W44" s="209"/>
      <c r="X44" s="209"/>
      <c r="Y44" s="209"/>
    </row>
    <row r="45" spans="1:25" x14ac:dyDescent="0.2">
      <c r="A45" s="209">
        <v>43</v>
      </c>
      <c r="B45" s="211" t="s">
        <v>150</v>
      </c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12">
        <v>100</v>
      </c>
      <c r="S45" s="209"/>
      <c r="T45" s="209"/>
      <c r="U45" s="209"/>
      <c r="V45" s="209"/>
      <c r="W45" s="209"/>
      <c r="X45" s="209"/>
      <c r="Y45" s="209"/>
    </row>
    <row r="46" spans="1:25" x14ac:dyDescent="0.2">
      <c r="A46" s="209">
        <v>71</v>
      </c>
      <c r="B46" s="209" t="s">
        <v>151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10"/>
      <c r="S46" s="210"/>
      <c r="T46" s="209"/>
      <c r="U46" s="209"/>
      <c r="V46" s="209"/>
      <c r="W46" s="209"/>
      <c r="X46" s="209"/>
      <c r="Y46" s="209"/>
    </row>
    <row r="47" spans="1:25" x14ac:dyDescent="0.2">
      <c r="A47" s="209">
        <v>45</v>
      </c>
      <c r="B47" s="211" t="s">
        <v>136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12">
        <v>100</v>
      </c>
      <c r="S47" s="209"/>
      <c r="T47" s="209"/>
      <c r="U47" s="209"/>
      <c r="V47" s="209"/>
      <c r="W47" s="209"/>
      <c r="X47" s="209"/>
      <c r="Y47" s="209"/>
    </row>
    <row r="48" spans="1:25" x14ac:dyDescent="0.2">
      <c r="A48" s="209">
        <v>46</v>
      </c>
      <c r="B48" s="211" t="s">
        <v>137</v>
      </c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12">
        <v>50</v>
      </c>
      <c r="S48" s="212">
        <v>50</v>
      </c>
      <c r="T48" s="209"/>
      <c r="U48" s="209"/>
      <c r="V48" s="209"/>
      <c r="W48" s="209"/>
      <c r="X48" s="209"/>
      <c r="Y48" s="209"/>
    </row>
    <row r="49" spans="1:25" x14ac:dyDescent="0.2">
      <c r="A49" s="209">
        <v>47</v>
      </c>
      <c r="B49" s="211" t="s">
        <v>140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12">
        <v>50</v>
      </c>
      <c r="S49" s="212">
        <v>50</v>
      </c>
      <c r="T49" s="209"/>
      <c r="U49" s="209"/>
      <c r="V49" s="209"/>
      <c r="W49" s="209"/>
      <c r="X49" s="209"/>
      <c r="Y49" s="209"/>
    </row>
    <row r="50" spans="1:25" x14ac:dyDescent="0.2">
      <c r="A50" s="209">
        <v>48</v>
      </c>
      <c r="B50" s="211" t="s">
        <v>141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12">
        <v>50</v>
      </c>
      <c r="S50" s="212">
        <v>50</v>
      </c>
      <c r="T50" s="209"/>
      <c r="U50" s="209"/>
      <c r="V50" s="209"/>
      <c r="W50" s="209"/>
      <c r="X50" s="209"/>
      <c r="Y50" s="209"/>
    </row>
    <row r="51" spans="1:25" x14ac:dyDescent="0.2">
      <c r="A51" s="209">
        <v>72</v>
      </c>
      <c r="B51" s="209" t="s">
        <v>142</v>
      </c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10"/>
      <c r="T51" s="210"/>
      <c r="U51" s="209"/>
      <c r="V51" s="209"/>
      <c r="W51" s="209"/>
      <c r="X51" s="209"/>
      <c r="Y51" s="209"/>
    </row>
    <row r="52" spans="1:25" x14ac:dyDescent="0.2">
      <c r="A52" s="209">
        <v>50</v>
      </c>
      <c r="B52" s="211" t="s">
        <v>152</v>
      </c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2">
        <v>50</v>
      </c>
      <c r="T52" s="212">
        <v>50</v>
      </c>
      <c r="U52" s="209"/>
      <c r="V52" s="209"/>
      <c r="W52" s="209"/>
      <c r="X52" s="209"/>
      <c r="Y52" s="209"/>
    </row>
  </sheetData>
  <phoneticPr fontId="0" type="noConversion"/>
  <printOptions gridLines="1"/>
  <pageMargins left="0.63" right="0.11811023622047245" top="0.39370078740157483" bottom="0.23622047244094491" header="0.31496062992125984" footer="0.15748031496062992"/>
  <pageSetup paperSize="9" scale="86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75" workbookViewId="0">
      <selection activeCell="O37" sqref="O37"/>
    </sheetView>
  </sheetViews>
  <sheetFormatPr defaultColWidth="11.42578125" defaultRowHeight="12.75" x14ac:dyDescent="0.2"/>
  <cols>
    <col min="1" max="1" width="7.85546875" customWidth="1"/>
    <col min="2" max="2" width="2" customWidth="1"/>
    <col min="3" max="3" width="32.42578125" customWidth="1"/>
    <col min="4" max="4" width="13.7109375" customWidth="1"/>
    <col min="5" max="5" width="6.7109375" customWidth="1"/>
    <col min="6" max="6" width="14.7109375" customWidth="1"/>
    <col min="7" max="7" width="7.85546875" customWidth="1"/>
    <col min="8" max="8" width="23.140625" customWidth="1"/>
    <col min="9" max="9" width="2" customWidth="1"/>
    <col min="10" max="10" width="15.7109375" style="87" hidden="1" customWidth="1"/>
    <col min="11" max="11" width="7.5703125" style="87" customWidth="1"/>
    <col min="12" max="12" width="18.5703125" customWidth="1"/>
    <col min="13" max="13" width="2.140625" customWidth="1"/>
    <col min="14" max="26" width="11.5703125" customWidth="1"/>
  </cols>
  <sheetData>
    <row r="1" spans="1:13" s="7" customFormat="1" ht="9" customHeight="1" thickBot="1" x14ac:dyDescent="0.25">
      <c r="J1" s="8"/>
      <c r="K1" s="8"/>
    </row>
    <row r="2" spans="1:13" s="7" customFormat="1" ht="15.6" customHeight="1" x14ac:dyDescent="0.2">
      <c r="E2" s="9" t="s">
        <v>224</v>
      </c>
      <c r="F2" s="10"/>
      <c r="G2" s="11"/>
      <c r="H2" s="11"/>
      <c r="I2" s="10"/>
      <c r="J2" s="10"/>
      <c r="K2" s="10"/>
      <c r="L2" s="12" t="s">
        <v>225</v>
      </c>
      <c r="M2" s="13"/>
    </row>
    <row r="3" spans="1:13" s="7" customFormat="1" ht="13.15" customHeight="1" x14ac:dyDescent="0.2">
      <c r="E3" s="14"/>
      <c r="F3" s="15" t="s">
        <v>226</v>
      </c>
      <c r="G3" s="15"/>
      <c r="H3" s="15"/>
      <c r="I3" s="15"/>
      <c r="J3" s="15"/>
      <c r="K3" s="15"/>
      <c r="L3" s="16"/>
      <c r="M3" s="17"/>
    </row>
    <row r="4" spans="1:13" s="7" customFormat="1" ht="15.6" customHeight="1" x14ac:dyDescent="0.2">
      <c r="E4" s="18" t="s">
        <v>341</v>
      </c>
      <c r="F4" s="19"/>
      <c r="G4" s="20" t="s">
        <v>342</v>
      </c>
      <c r="H4" s="20"/>
      <c r="I4" s="20"/>
      <c r="J4" s="21"/>
      <c r="K4" s="21"/>
      <c r="L4" s="22" t="s">
        <v>343</v>
      </c>
      <c r="M4" s="23"/>
    </row>
    <row r="5" spans="1:13" s="7" customFormat="1" ht="15" customHeight="1" thickBot="1" x14ac:dyDescent="0.25">
      <c r="E5" s="24"/>
      <c r="F5" s="25">
        <v>38504</v>
      </c>
      <c r="G5" s="26" t="s">
        <v>227</v>
      </c>
      <c r="H5" s="26"/>
      <c r="I5" s="26"/>
      <c r="J5" s="26"/>
      <c r="K5" s="26"/>
      <c r="L5" s="27"/>
      <c r="M5" s="28"/>
    </row>
    <row r="6" spans="1:13" s="7" customFormat="1" ht="9" customHeight="1" thickBot="1" x14ac:dyDescent="0.25">
      <c r="J6" s="8"/>
      <c r="K6" s="8"/>
    </row>
    <row r="7" spans="1:13" s="7" customFormat="1" ht="19.5" customHeight="1" x14ac:dyDescent="0.2">
      <c r="A7" s="29" t="s">
        <v>228</v>
      </c>
      <c r="B7" s="578" t="s">
        <v>229</v>
      </c>
      <c r="C7" s="579"/>
      <c r="D7" s="579"/>
      <c r="E7" s="579"/>
      <c r="F7" s="580"/>
      <c r="G7" s="31" t="s">
        <v>230</v>
      </c>
      <c r="H7" s="581" t="s">
        <v>231</v>
      </c>
      <c r="I7" s="582"/>
      <c r="J7" s="582"/>
      <c r="K7" s="582"/>
      <c r="L7" s="582"/>
      <c r="M7" s="32"/>
    </row>
    <row r="8" spans="1:13" ht="13.15" customHeight="1" x14ac:dyDescent="0.2">
      <c r="A8" s="33"/>
      <c r="B8" s="34"/>
      <c r="C8" s="35"/>
      <c r="D8" s="35"/>
      <c r="E8" s="35"/>
      <c r="F8" s="35"/>
      <c r="G8" s="36"/>
      <c r="H8" s="37"/>
      <c r="I8" s="38"/>
      <c r="J8" s="39"/>
      <c r="K8" s="38"/>
      <c r="L8" s="40" t="str">
        <f>IF(J8=0," ",IF(J8=" -"," -",H8*J8))</f>
        <v xml:space="preserve"> </v>
      </c>
      <c r="M8" s="41"/>
    </row>
    <row r="9" spans="1:13" ht="13.15" customHeight="1" x14ac:dyDescent="0.2">
      <c r="A9" s="33"/>
      <c r="B9" s="34"/>
      <c r="C9" s="42" t="s">
        <v>227</v>
      </c>
      <c r="D9" s="35"/>
      <c r="E9" s="35"/>
      <c r="F9" s="35"/>
      <c r="G9" s="36"/>
      <c r="H9" s="43"/>
      <c r="I9" s="44"/>
      <c r="J9" s="45"/>
      <c r="K9" s="44"/>
      <c r="L9" s="40"/>
      <c r="M9" s="41"/>
    </row>
    <row r="10" spans="1:13" ht="13.15" customHeight="1" x14ac:dyDescent="0.2">
      <c r="A10" s="33"/>
      <c r="B10" s="34"/>
      <c r="C10" s="35"/>
      <c r="D10" s="35"/>
      <c r="E10" s="35"/>
      <c r="F10" s="35"/>
      <c r="G10" s="36"/>
      <c r="H10" s="43"/>
      <c r="I10" s="44"/>
      <c r="J10" s="45"/>
      <c r="K10" s="44"/>
      <c r="L10" s="40"/>
      <c r="M10" s="41"/>
    </row>
    <row r="11" spans="1:13" ht="13.15" customHeight="1" x14ac:dyDescent="0.2">
      <c r="A11" s="33">
        <v>1</v>
      </c>
      <c r="B11" s="34"/>
      <c r="C11" s="46" t="s">
        <v>232</v>
      </c>
      <c r="D11" s="47"/>
      <c r="E11" s="48"/>
      <c r="F11" s="48"/>
      <c r="G11" s="36"/>
      <c r="H11" s="40"/>
      <c r="I11" s="44"/>
      <c r="J11" s="45"/>
      <c r="K11" s="44"/>
      <c r="L11" s="40"/>
      <c r="M11" s="41"/>
    </row>
    <row r="12" spans="1:13" ht="13.15" customHeight="1" x14ac:dyDescent="0.2">
      <c r="A12" s="49"/>
      <c r="B12" s="50"/>
      <c r="C12" s="48"/>
      <c r="D12" s="48"/>
      <c r="E12" s="48"/>
      <c r="F12" s="48"/>
      <c r="G12" s="36"/>
      <c r="H12" s="43"/>
      <c r="I12" s="44"/>
      <c r="J12" s="45"/>
      <c r="K12" s="44"/>
      <c r="L12" s="40"/>
      <c r="M12" s="41"/>
    </row>
    <row r="13" spans="1:13" ht="13.15" customHeight="1" x14ac:dyDescent="0.2">
      <c r="A13" s="33">
        <v>1.1000000000000001</v>
      </c>
      <c r="B13" s="34"/>
      <c r="C13" s="46" t="s">
        <v>233</v>
      </c>
      <c r="D13" s="46"/>
      <c r="E13" s="46"/>
      <c r="F13" s="46"/>
      <c r="G13" s="36" t="s">
        <v>234</v>
      </c>
      <c r="H13" s="43"/>
      <c r="I13" s="44"/>
      <c r="J13" s="45"/>
      <c r="K13" s="44"/>
      <c r="L13" s="40">
        <f>'Interceptor(mão-de-obra)'!L167</f>
        <v>131565.54164350004</v>
      </c>
      <c r="M13" s="41"/>
    </row>
    <row r="14" spans="1:13" ht="13.15" customHeight="1" x14ac:dyDescent="0.2">
      <c r="A14" s="33"/>
      <c r="B14" s="34"/>
      <c r="C14" s="46"/>
      <c r="D14" s="46"/>
      <c r="E14" s="46"/>
      <c r="F14" s="46"/>
      <c r="G14" s="36"/>
      <c r="H14" s="43"/>
      <c r="I14" s="44"/>
      <c r="J14" s="45"/>
      <c r="K14" s="44"/>
      <c r="L14" s="40"/>
      <c r="M14" s="41"/>
    </row>
    <row r="15" spans="1:13" ht="13.15" customHeight="1" x14ac:dyDescent="0.2">
      <c r="A15" s="33">
        <v>1.2</v>
      </c>
      <c r="B15" s="34"/>
      <c r="C15" s="46" t="s">
        <v>235</v>
      </c>
      <c r="D15" s="46"/>
      <c r="E15" s="46"/>
      <c r="F15" s="46"/>
      <c r="G15" s="36" t="s">
        <v>234</v>
      </c>
      <c r="H15" s="51"/>
      <c r="I15" s="44"/>
      <c r="J15" s="45"/>
      <c r="K15" s="44"/>
      <c r="L15" s="40">
        <f>'Interceptor (materiais)'!L157</f>
        <v>264928.59288464999</v>
      </c>
      <c r="M15" s="41"/>
    </row>
    <row r="16" spans="1:13" x14ac:dyDescent="0.2">
      <c r="A16" s="33"/>
      <c r="B16" s="34"/>
      <c r="C16" s="46"/>
      <c r="D16" s="46"/>
      <c r="E16" s="52"/>
      <c r="F16" s="52"/>
      <c r="G16" s="36"/>
      <c r="H16" s="43"/>
      <c r="I16" s="44"/>
      <c r="J16" s="45"/>
      <c r="K16" s="44"/>
      <c r="L16" s="40"/>
      <c r="M16" s="41"/>
    </row>
    <row r="17" spans="1:13" ht="13.15" customHeight="1" x14ac:dyDescent="0.2">
      <c r="A17" s="33"/>
      <c r="B17" s="34"/>
      <c r="C17" s="46"/>
      <c r="D17" s="46"/>
      <c r="E17" s="52"/>
      <c r="F17" s="52"/>
      <c r="G17" s="36"/>
      <c r="H17" s="53"/>
      <c r="I17" s="44"/>
      <c r="J17" s="45"/>
      <c r="K17" s="44"/>
      <c r="L17" s="40"/>
      <c r="M17" s="41"/>
    </row>
    <row r="18" spans="1:13" ht="13.15" customHeight="1" x14ac:dyDescent="0.2">
      <c r="A18" s="33"/>
      <c r="B18" s="34"/>
      <c r="C18" s="46"/>
      <c r="D18" s="46"/>
      <c r="E18" s="52"/>
      <c r="F18" s="52"/>
      <c r="G18" s="36"/>
      <c r="H18" s="53"/>
      <c r="I18" s="44"/>
      <c r="J18" s="45"/>
      <c r="K18" s="44"/>
      <c r="L18" s="40"/>
      <c r="M18" s="41"/>
    </row>
    <row r="19" spans="1:13" ht="13.15" customHeight="1" x14ac:dyDescent="0.2">
      <c r="A19" s="33"/>
      <c r="B19" s="34"/>
      <c r="C19" s="54" t="s">
        <v>35</v>
      </c>
      <c r="D19" s="46"/>
      <c r="E19" s="52"/>
      <c r="F19" s="55"/>
      <c r="G19" s="36"/>
      <c r="H19" s="56"/>
      <c r="I19" s="57"/>
      <c r="J19" s="58"/>
      <c r="K19" s="57"/>
      <c r="L19" s="59">
        <f>SUM(L11:L18)</f>
        <v>396494.13452815003</v>
      </c>
      <c r="M19" s="41"/>
    </row>
    <row r="20" spans="1:13" ht="13.15" customHeight="1" x14ac:dyDescent="0.2">
      <c r="A20" s="33"/>
      <c r="B20" s="34"/>
      <c r="C20" s="54"/>
      <c r="D20" s="46"/>
      <c r="E20" s="52"/>
      <c r="F20" s="52"/>
      <c r="G20" s="36"/>
      <c r="H20" s="53"/>
      <c r="I20" s="44"/>
      <c r="J20" s="45"/>
      <c r="K20" s="44"/>
      <c r="L20" s="59"/>
      <c r="M20" s="41"/>
    </row>
    <row r="21" spans="1:13" ht="13.15" customHeight="1" x14ac:dyDescent="0.2">
      <c r="A21" s="33"/>
      <c r="B21" s="34"/>
      <c r="C21" s="54" t="s">
        <v>236</v>
      </c>
      <c r="D21" s="46"/>
      <c r="E21" s="52"/>
      <c r="F21" s="52"/>
      <c r="G21" s="36"/>
      <c r="H21" s="53"/>
      <c r="I21" s="44"/>
      <c r="J21" s="45"/>
      <c r="K21" s="44"/>
      <c r="L21" s="59"/>
      <c r="M21" s="41"/>
    </row>
    <row r="22" spans="1:13" ht="13.15" customHeight="1" x14ac:dyDescent="0.2">
      <c r="A22" s="33"/>
      <c r="B22" s="34"/>
      <c r="C22" s="46" t="s">
        <v>237</v>
      </c>
      <c r="D22" s="46"/>
      <c r="E22" s="60"/>
      <c r="F22" s="61"/>
      <c r="G22" s="36"/>
      <c r="H22" s="53"/>
      <c r="I22" s="44"/>
      <c r="J22" s="45"/>
      <c r="K22" s="44"/>
      <c r="L22" s="62"/>
      <c r="M22" s="41"/>
    </row>
    <row r="23" spans="1:13" ht="13.15" customHeight="1" x14ac:dyDescent="0.2">
      <c r="A23" s="33"/>
      <c r="B23" s="34"/>
      <c r="C23" s="46" t="s">
        <v>238</v>
      </c>
      <c r="D23" s="46"/>
      <c r="E23" s="60"/>
      <c r="F23" s="61"/>
      <c r="G23" s="36"/>
      <c r="H23" s="53"/>
      <c r="I23" s="44"/>
      <c r="J23" s="45"/>
      <c r="K23" s="44"/>
      <c r="L23" s="62"/>
      <c r="M23" s="41"/>
    </row>
    <row r="24" spans="1:13" ht="13.15" customHeight="1" x14ac:dyDescent="0.2">
      <c r="A24" s="33"/>
      <c r="B24" s="34"/>
      <c r="C24" s="46" t="s">
        <v>239</v>
      </c>
      <c r="D24" s="46"/>
      <c r="E24" s="60"/>
      <c r="F24" s="61"/>
      <c r="G24" s="36"/>
      <c r="H24" s="53"/>
      <c r="I24" s="44"/>
      <c r="J24" s="45"/>
      <c r="K24" s="44"/>
      <c r="L24" s="62"/>
      <c r="M24" s="41"/>
    </row>
    <row r="25" spans="1:13" ht="13.15" customHeight="1" x14ac:dyDescent="0.2">
      <c r="A25" s="33"/>
      <c r="B25" s="34"/>
      <c r="C25" s="63"/>
      <c r="D25" s="46"/>
      <c r="E25" s="60"/>
      <c r="F25" s="61"/>
      <c r="G25" s="36"/>
      <c r="H25" s="53"/>
      <c r="I25" s="44"/>
      <c r="J25" s="45"/>
      <c r="K25" s="44"/>
      <c r="L25" s="62"/>
      <c r="M25" s="41"/>
    </row>
    <row r="26" spans="1:13" ht="13.15" customHeight="1" x14ac:dyDescent="0.2">
      <c r="A26" s="33"/>
      <c r="B26" s="34"/>
      <c r="C26" s="63"/>
      <c r="D26" s="46"/>
      <c r="E26" s="60"/>
      <c r="F26" s="61"/>
      <c r="G26" s="36"/>
      <c r="H26" s="53"/>
      <c r="I26" s="44"/>
      <c r="J26" s="45"/>
      <c r="K26" s="44"/>
      <c r="L26" s="62"/>
      <c r="M26" s="41"/>
    </row>
    <row r="27" spans="1:13" ht="13.15" customHeight="1" x14ac:dyDescent="0.2">
      <c r="A27" s="33"/>
      <c r="B27" s="34"/>
      <c r="C27" s="46"/>
      <c r="D27" s="46"/>
      <c r="E27" s="60"/>
      <c r="F27" s="61"/>
      <c r="G27" s="36"/>
      <c r="H27" s="53"/>
      <c r="I27" s="44"/>
      <c r="J27" s="45"/>
      <c r="K27" s="44"/>
      <c r="L27" s="62"/>
      <c r="M27" s="41"/>
    </row>
    <row r="28" spans="1:13" ht="13.15" customHeight="1" x14ac:dyDescent="0.2">
      <c r="A28" s="33"/>
      <c r="B28" s="34"/>
      <c r="C28" s="46"/>
      <c r="D28" s="46"/>
      <c r="E28" s="60"/>
      <c r="F28" s="61"/>
      <c r="G28" s="36"/>
      <c r="H28" s="53"/>
      <c r="I28" s="44"/>
      <c r="J28" s="45"/>
      <c r="K28" s="44"/>
      <c r="L28" s="62"/>
      <c r="M28" s="41"/>
    </row>
    <row r="29" spans="1:13" ht="13.15" customHeight="1" x14ac:dyDescent="0.2">
      <c r="A29" s="33"/>
      <c r="B29" s="34"/>
      <c r="C29" s="46"/>
      <c r="D29" s="46"/>
      <c r="E29" s="60"/>
      <c r="F29" s="61"/>
      <c r="G29" s="36"/>
      <c r="H29" s="53"/>
      <c r="I29" s="44"/>
      <c r="J29" s="45"/>
      <c r="K29" s="44"/>
      <c r="L29" s="62"/>
      <c r="M29" s="41"/>
    </row>
    <row r="30" spans="1:13" ht="13.15" customHeight="1" x14ac:dyDescent="0.2">
      <c r="A30" s="33"/>
      <c r="B30" s="34"/>
      <c r="C30" s="64"/>
      <c r="D30" s="46"/>
      <c r="E30" s="60"/>
      <c r="F30" s="61"/>
      <c r="G30" s="36"/>
      <c r="H30" s="53"/>
      <c r="I30" s="44"/>
      <c r="J30" s="45"/>
      <c r="K30" s="44"/>
      <c r="L30" s="62"/>
      <c r="M30" s="41"/>
    </row>
    <row r="31" spans="1:13" ht="13.15" customHeight="1" x14ac:dyDescent="0.2">
      <c r="A31" s="33"/>
      <c r="B31" s="34"/>
      <c r="C31" s="46"/>
      <c r="D31" s="46"/>
      <c r="E31" s="60"/>
      <c r="F31" s="61"/>
      <c r="G31" s="36"/>
      <c r="H31" s="53"/>
      <c r="I31" s="44"/>
      <c r="J31" s="45"/>
      <c r="K31" s="44"/>
      <c r="L31" s="62"/>
      <c r="M31" s="41"/>
    </row>
    <row r="32" spans="1:13" ht="13.15" customHeight="1" x14ac:dyDescent="0.2">
      <c r="A32" s="33"/>
      <c r="B32" s="34"/>
      <c r="C32" s="54"/>
      <c r="D32" s="46"/>
      <c r="E32" s="65"/>
      <c r="F32" s="61"/>
      <c r="G32" s="36"/>
      <c r="H32" s="53"/>
      <c r="I32" s="44"/>
      <c r="J32" s="45"/>
      <c r="K32" s="44"/>
      <c r="L32" s="59"/>
      <c r="M32" s="41"/>
    </row>
    <row r="33" spans="1:13" ht="13.15" customHeight="1" x14ac:dyDescent="0.2">
      <c r="A33" s="33"/>
      <c r="B33" s="34"/>
      <c r="C33" s="54"/>
      <c r="D33" s="46"/>
      <c r="E33" s="65"/>
      <c r="F33" s="61"/>
      <c r="G33" s="36"/>
      <c r="H33" s="53"/>
      <c r="I33" s="44"/>
      <c r="J33" s="45"/>
      <c r="K33" s="44"/>
      <c r="L33" s="59"/>
      <c r="M33" s="41"/>
    </row>
    <row r="34" spans="1:13" ht="13.15" customHeight="1" x14ac:dyDescent="0.2">
      <c r="A34" s="33"/>
      <c r="B34" s="34"/>
      <c r="C34" s="54"/>
      <c r="D34" s="66"/>
      <c r="E34" s="60"/>
      <c r="F34" s="61"/>
      <c r="G34" s="36"/>
      <c r="H34" s="53"/>
      <c r="I34" s="44"/>
      <c r="J34" s="45"/>
      <c r="K34" s="44"/>
      <c r="L34" s="59"/>
      <c r="M34" s="41"/>
    </row>
    <row r="35" spans="1:13" ht="13.15" customHeight="1" x14ac:dyDescent="0.2">
      <c r="A35" s="33"/>
      <c r="B35" s="34"/>
      <c r="C35" s="54"/>
      <c r="D35" s="66"/>
      <c r="E35" s="60"/>
      <c r="F35" s="61"/>
      <c r="G35" s="36"/>
      <c r="H35" s="53"/>
      <c r="I35" s="44"/>
      <c r="J35" s="45"/>
      <c r="K35" s="44"/>
      <c r="L35" s="59"/>
      <c r="M35" s="41"/>
    </row>
    <row r="36" spans="1:13" ht="13.7" customHeight="1" thickBot="1" x14ac:dyDescent="0.25">
      <c r="A36" s="67"/>
      <c r="B36" s="68"/>
      <c r="C36" s="69"/>
      <c r="D36" s="69"/>
      <c r="E36" s="69"/>
      <c r="F36" s="69"/>
      <c r="G36" s="70"/>
      <c r="H36" s="71"/>
      <c r="I36" s="69"/>
      <c r="J36" s="72"/>
      <c r="K36" s="69"/>
      <c r="L36" s="72" t="str">
        <f>IF(J36=0," ",IF(J36=" -"," -",H36*J36))</f>
        <v xml:space="preserve"> </v>
      </c>
      <c r="M36" s="73"/>
    </row>
    <row r="37" spans="1:13" ht="6" customHeight="1" thickBot="1" x14ac:dyDescent="0.25">
      <c r="A37" s="74"/>
      <c r="B37" s="74"/>
      <c r="C37" s="44"/>
      <c r="D37" s="44"/>
      <c r="E37" s="44"/>
      <c r="F37" s="44"/>
      <c r="G37" s="74"/>
      <c r="H37" s="75"/>
      <c r="I37" s="44"/>
      <c r="J37" s="45"/>
      <c r="K37" s="44"/>
      <c r="L37" s="45"/>
      <c r="M37" s="44"/>
    </row>
    <row r="38" spans="1:13" ht="14.25" x14ac:dyDescent="0.2">
      <c r="A38" s="76" t="s">
        <v>240</v>
      </c>
      <c r="B38" s="77"/>
      <c r="C38" s="78"/>
      <c r="D38" s="79" t="s">
        <v>241</v>
      </c>
      <c r="E38" s="77"/>
      <c r="F38" s="77"/>
      <c r="G38" s="80" t="s">
        <v>242</v>
      </c>
      <c r="H38" s="81"/>
      <c r="I38" s="79" t="s">
        <v>243</v>
      </c>
      <c r="J38" s="82"/>
      <c r="K38" s="83"/>
      <c r="L38" s="84"/>
      <c r="M38" s="85"/>
    </row>
    <row r="39" spans="1:13" ht="13.5" thickBot="1" x14ac:dyDescent="0.25">
      <c r="A39" s="572"/>
      <c r="B39" s="573"/>
      <c r="C39" s="574"/>
      <c r="D39" s="575"/>
      <c r="E39" s="576"/>
      <c r="F39" s="577"/>
      <c r="G39" s="68"/>
      <c r="H39" s="86"/>
      <c r="I39" s="69"/>
      <c r="J39" s="72"/>
      <c r="K39" s="69"/>
      <c r="L39" s="72"/>
      <c r="M39" s="73"/>
    </row>
  </sheetData>
  <dataConsolidate/>
  <mergeCells count="4">
    <mergeCell ref="A39:C39"/>
    <mergeCell ref="D39:F39"/>
    <mergeCell ref="B7:F7"/>
    <mergeCell ref="H7:L7"/>
  </mergeCells>
  <phoneticPr fontId="0" type="noConversion"/>
  <printOptions horizontalCentered="1" verticalCentered="1"/>
  <pageMargins left="0.39370078740157483" right="0.39370078740157483" top="0.70866141732283472" bottom="0.62992125984251968" header="0.94488188976377963" footer="0.39370078740157483"/>
  <pageSetup paperSize="9" orientation="landscape" horizontalDpi="4294967294" verticalDpi="360" r:id="rId1"/>
  <headerFooter alignWithMargins="0">
    <oddHeader>&amp;R&amp;9&amp;P
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workbookViewId="0">
      <selection activeCell="O37" sqref="O37"/>
    </sheetView>
  </sheetViews>
  <sheetFormatPr defaultRowHeight="12.75" x14ac:dyDescent="0.2"/>
  <cols>
    <col min="10" max="10" width="14.42578125" customWidth="1"/>
    <col min="11" max="11" width="17.140625" customWidth="1"/>
    <col min="12" max="12" width="19.140625" customWidth="1"/>
    <col min="14" max="14" width="14.42578125" hidden="1" customWidth="1"/>
    <col min="15" max="15" width="17.140625" hidden="1" customWidth="1"/>
  </cols>
  <sheetData>
    <row r="1" spans="1:15" x14ac:dyDescent="0.2">
      <c r="G1" s="88" t="s">
        <v>244</v>
      </c>
      <c r="H1" s="89"/>
      <c r="I1" s="89"/>
      <c r="J1" s="89"/>
      <c r="K1" s="89"/>
      <c r="L1" s="90" t="s">
        <v>245</v>
      </c>
      <c r="N1" s="89"/>
      <c r="O1" s="89"/>
    </row>
    <row r="2" spans="1:15" ht="15" x14ac:dyDescent="0.25">
      <c r="G2" s="589" t="s">
        <v>246</v>
      </c>
      <c r="H2" s="590"/>
      <c r="I2" s="590"/>
      <c r="J2" s="590"/>
      <c r="K2" s="91"/>
      <c r="L2" s="92"/>
      <c r="O2" s="91"/>
    </row>
    <row r="3" spans="1:15" x14ac:dyDescent="0.2">
      <c r="G3" s="93" t="s">
        <v>247</v>
      </c>
      <c r="H3" s="87"/>
      <c r="I3" s="87"/>
      <c r="J3" s="87"/>
      <c r="K3" s="87"/>
      <c r="L3" s="94" t="s">
        <v>248</v>
      </c>
      <c r="N3" s="87"/>
      <c r="O3" s="87"/>
    </row>
    <row r="4" spans="1:15" ht="15.75" thickBot="1" x14ac:dyDescent="0.3">
      <c r="G4" s="591" t="s">
        <v>232</v>
      </c>
      <c r="H4" s="592"/>
      <c r="I4" s="592"/>
      <c r="J4" s="592"/>
      <c r="K4" s="593"/>
      <c r="L4" s="95">
        <v>38504</v>
      </c>
    </row>
    <row r="5" spans="1:15" ht="5.25" customHeight="1" thickBot="1" x14ac:dyDescent="0.25"/>
    <row r="6" spans="1:15" x14ac:dyDescent="0.2">
      <c r="A6" s="96" t="s">
        <v>228</v>
      </c>
      <c r="B6" s="579" t="s">
        <v>229</v>
      </c>
      <c r="C6" s="579"/>
      <c r="D6" s="579"/>
      <c r="E6" s="579"/>
      <c r="F6" s="579"/>
      <c r="G6" s="579"/>
      <c r="H6" s="579"/>
      <c r="I6" s="97" t="s">
        <v>230</v>
      </c>
      <c r="J6" s="30" t="s">
        <v>249</v>
      </c>
      <c r="K6" s="97" t="s">
        <v>250</v>
      </c>
      <c r="L6" s="32" t="s">
        <v>251</v>
      </c>
      <c r="N6" s="30" t="s">
        <v>249</v>
      </c>
      <c r="O6" s="97" t="s">
        <v>250</v>
      </c>
    </row>
    <row r="7" spans="1:15" x14ac:dyDescent="0.2">
      <c r="A7" s="98"/>
      <c r="B7" s="99"/>
      <c r="C7" s="87"/>
      <c r="D7" s="87"/>
      <c r="E7" s="87"/>
      <c r="F7" s="87"/>
      <c r="G7" s="87"/>
      <c r="H7" s="87"/>
      <c r="I7" s="100"/>
      <c r="J7" s="101"/>
      <c r="K7" s="100"/>
      <c r="L7" s="102"/>
      <c r="N7" s="101"/>
      <c r="O7" s="100"/>
    </row>
    <row r="8" spans="1:15" x14ac:dyDescent="0.2">
      <c r="A8" s="103"/>
      <c r="B8" s="104"/>
      <c r="C8" s="87"/>
      <c r="D8" s="87"/>
      <c r="E8" s="87"/>
      <c r="F8" s="87"/>
      <c r="G8" s="87"/>
      <c r="H8" s="105"/>
      <c r="I8" s="106"/>
      <c r="J8" s="107"/>
      <c r="K8" s="106"/>
      <c r="L8" s="108"/>
      <c r="N8" s="101"/>
      <c r="O8" s="87"/>
    </row>
    <row r="9" spans="1:15" ht="12.75" customHeight="1" x14ac:dyDescent="0.2">
      <c r="A9" s="109" t="s">
        <v>252</v>
      </c>
      <c r="B9" s="110" t="s">
        <v>232</v>
      </c>
      <c r="C9" s="64"/>
      <c r="D9" s="64"/>
      <c r="E9" s="64"/>
      <c r="F9" s="64"/>
      <c r="G9" s="64"/>
      <c r="H9" s="111"/>
      <c r="I9" s="112"/>
      <c r="J9" s="107"/>
      <c r="K9" s="113"/>
      <c r="L9" s="114" t="str">
        <f t="shared" ref="L9:L17" si="0">IF(K9=0," ",IF(K9=" -"," -",J9*K9))</f>
        <v xml:space="preserve"> </v>
      </c>
      <c r="N9" s="107"/>
      <c r="O9" s="113"/>
    </row>
    <row r="10" spans="1:15" x14ac:dyDescent="0.2">
      <c r="A10" s="115"/>
      <c r="B10" s="116"/>
      <c r="C10" s="64"/>
      <c r="D10" s="64"/>
      <c r="E10" s="64"/>
      <c r="F10" s="64"/>
      <c r="G10" s="64"/>
      <c r="H10" s="111"/>
      <c r="I10" s="112"/>
      <c r="J10" s="117"/>
      <c r="K10" s="113"/>
      <c r="L10" s="114" t="str">
        <f t="shared" si="0"/>
        <v xml:space="preserve"> </v>
      </c>
      <c r="N10" s="107"/>
      <c r="O10" s="113"/>
    </row>
    <row r="11" spans="1:15" x14ac:dyDescent="0.2">
      <c r="A11" s="115"/>
      <c r="B11" s="118" t="s">
        <v>253</v>
      </c>
      <c r="C11" s="64"/>
      <c r="D11" s="64"/>
      <c r="E11" s="64"/>
      <c r="F11" s="64"/>
      <c r="G11" s="64"/>
      <c r="H11" s="111"/>
      <c r="I11" s="112"/>
      <c r="J11" s="119"/>
      <c r="K11" s="113"/>
      <c r="L11" s="114" t="str">
        <f t="shared" si="0"/>
        <v xml:space="preserve"> </v>
      </c>
      <c r="N11" s="107"/>
      <c r="O11" s="113"/>
    </row>
    <row r="12" spans="1:15" x14ac:dyDescent="0.2">
      <c r="A12" s="115"/>
      <c r="B12" s="116"/>
      <c r="C12" s="64"/>
      <c r="D12" s="64"/>
      <c r="E12" s="64"/>
      <c r="F12" s="64"/>
      <c r="G12" s="64"/>
      <c r="H12" s="111"/>
      <c r="I12" s="112"/>
      <c r="J12" s="119"/>
      <c r="K12" s="113"/>
      <c r="L12" s="114" t="str">
        <f t="shared" si="0"/>
        <v xml:space="preserve"> </v>
      </c>
      <c r="N12" s="107"/>
      <c r="O12" s="113"/>
    </row>
    <row r="13" spans="1:15" x14ac:dyDescent="0.2">
      <c r="A13" s="115"/>
      <c r="B13" s="116" t="s">
        <v>254</v>
      </c>
      <c r="C13" s="64"/>
      <c r="D13" s="64"/>
      <c r="E13" s="64"/>
      <c r="F13" s="64"/>
      <c r="G13" s="64"/>
      <c r="H13" s="111"/>
      <c r="I13" s="120" t="s">
        <v>255</v>
      </c>
      <c r="J13" s="119">
        <v>886</v>
      </c>
      <c r="K13" s="121"/>
      <c r="L13" s="122" t="str">
        <f t="shared" si="0"/>
        <v xml:space="preserve"> </v>
      </c>
      <c r="N13" s="123">
        <v>886</v>
      </c>
      <c r="O13" s="121">
        <v>1.03</v>
      </c>
    </row>
    <row r="14" spans="1:15" x14ac:dyDescent="0.2">
      <c r="A14" s="115"/>
      <c r="B14" s="116" t="s">
        <v>256</v>
      </c>
      <c r="C14" s="64"/>
      <c r="D14" s="64"/>
      <c r="E14" s="64"/>
      <c r="F14" s="64"/>
      <c r="G14" s="64"/>
      <c r="H14" s="111"/>
      <c r="I14" s="120" t="s">
        <v>257</v>
      </c>
      <c r="J14" s="124">
        <f>886*0.000144</f>
        <v>0.127584</v>
      </c>
      <c r="K14" s="121">
        <v>3977.6</v>
      </c>
      <c r="L14" s="114">
        <f t="shared" si="0"/>
        <v>507.47811840000003</v>
      </c>
      <c r="N14" s="123"/>
      <c r="O14" s="121"/>
    </row>
    <row r="15" spans="1:15" x14ac:dyDescent="0.2">
      <c r="A15" s="115"/>
      <c r="B15" s="116" t="s">
        <v>258</v>
      </c>
      <c r="C15" s="64"/>
      <c r="D15" s="64"/>
      <c r="E15" s="64"/>
      <c r="F15" s="64"/>
      <c r="G15" s="64"/>
      <c r="H15" s="111"/>
      <c r="I15" s="120" t="s">
        <v>257</v>
      </c>
      <c r="J15" s="124">
        <f>886*0.000288</f>
        <v>0.25516800000000001</v>
      </c>
      <c r="K15" s="125">
        <v>648.67999999999995</v>
      </c>
      <c r="L15" s="114">
        <f t="shared" si="0"/>
        <v>165.52237823999999</v>
      </c>
      <c r="N15" s="123"/>
      <c r="O15" s="121"/>
    </row>
    <row r="16" spans="1:15" x14ac:dyDescent="0.2">
      <c r="A16" s="115"/>
      <c r="B16" s="116" t="s">
        <v>259</v>
      </c>
      <c r="C16" s="64"/>
      <c r="D16" s="64"/>
      <c r="E16" s="64"/>
      <c r="F16" s="64"/>
      <c r="G16" s="64"/>
      <c r="H16" s="111"/>
      <c r="I16" s="112" t="s">
        <v>257</v>
      </c>
      <c r="J16" s="124">
        <f>886*0.000144</f>
        <v>0.127584</v>
      </c>
      <c r="K16" s="121">
        <v>1733.16</v>
      </c>
      <c r="L16" s="114">
        <f t="shared" si="0"/>
        <v>221.12348544000002</v>
      </c>
      <c r="N16" s="107"/>
      <c r="O16" s="121"/>
    </row>
    <row r="17" spans="1:15" x14ac:dyDescent="0.2">
      <c r="A17" s="115"/>
      <c r="B17" s="116" t="s">
        <v>260</v>
      </c>
      <c r="C17" s="64"/>
      <c r="D17" s="64"/>
      <c r="E17" s="64"/>
      <c r="F17" s="64"/>
      <c r="G17" s="64"/>
      <c r="H17" s="111"/>
      <c r="I17" s="112" t="s">
        <v>257</v>
      </c>
      <c r="J17" s="124">
        <f>(886*0.000144)</f>
        <v>0.127584</v>
      </c>
      <c r="K17" s="121">
        <v>139.01</v>
      </c>
      <c r="L17" s="114">
        <f t="shared" si="0"/>
        <v>17.73545184</v>
      </c>
      <c r="N17" s="107"/>
      <c r="O17" s="121"/>
    </row>
    <row r="18" spans="1:15" x14ac:dyDescent="0.2">
      <c r="A18" s="115"/>
      <c r="B18" s="116"/>
      <c r="C18" s="64"/>
      <c r="D18" s="64"/>
      <c r="E18" s="64"/>
      <c r="F18" s="64"/>
      <c r="G18" s="64"/>
      <c r="H18" s="111"/>
      <c r="I18" s="112"/>
      <c r="J18" s="124"/>
      <c r="K18" s="121"/>
      <c r="L18" s="122"/>
      <c r="N18" s="107"/>
      <c r="O18" s="121"/>
    </row>
    <row r="19" spans="1:15" x14ac:dyDescent="0.2">
      <c r="A19" s="115"/>
      <c r="B19" s="116"/>
      <c r="C19" s="64"/>
      <c r="D19" s="64"/>
      <c r="E19" s="64"/>
      <c r="F19" s="64"/>
      <c r="G19" s="64"/>
      <c r="H19" s="111"/>
      <c r="I19" s="112"/>
      <c r="J19" s="107"/>
      <c r="K19" s="126"/>
      <c r="L19" s="127"/>
      <c r="N19" s="107"/>
      <c r="O19" s="121"/>
    </row>
    <row r="20" spans="1:15" x14ac:dyDescent="0.2">
      <c r="A20" s="115"/>
      <c r="B20" s="118" t="s">
        <v>261</v>
      </c>
      <c r="C20" s="64"/>
      <c r="D20" s="64"/>
      <c r="E20" s="64"/>
      <c r="F20" s="64"/>
      <c r="G20" s="64"/>
      <c r="H20" s="111"/>
      <c r="I20" s="112" t="s">
        <v>262</v>
      </c>
      <c r="J20" s="119">
        <v>400</v>
      </c>
      <c r="K20" s="121"/>
      <c r="L20" s="122" t="str">
        <f>IF(K20=0," ",IF(K20=" -"," -",J20*K20))</f>
        <v xml:space="preserve"> </v>
      </c>
      <c r="N20" s="107">
        <v>400</v>
      </c>
      <c r="O20" s="121">
        <v>100.01</v>
      </c>
    </row>
    <row r="21" spans="1:15" x14ac:dyDescent="0.2">
      <c r="A21" s="115"/>
      <c r="B21" s="118" t="s">
        <v>263</v>
      </c>
      <c r="C21" s="64"/>
      <c r="D21" s="64"/>
      <c r="E21" s="64"/>
      <c r="F21" s="64"/>
      <c r="G21" s="64"/>
      <c r="H21" s="111"/>
      <c r="I21" s="112" t="s">
        <v>264</v>
      </c>
      <c r="J21" s="128">
        <f>400*1.12</f>
        <v>448.00000000000006</v>
      </c>
      <c r="K21" s="121">
        <v>5.79</v>
      </c>
      <c r="L21" s="114">
        <f>IF(K21=0," ",IF(K21=" -"," -",J21*K21))</f>
        <v>2593.9200000000005</v>
      </c>
      <c r="N21" s="107"/>
      <c r="O21" s="121"/>
    </row>
    <row r="22" spans="1:15" x14ac:dyDescent="0.2">
      <c r="A22" s="115"/>
      <c r="B22" s="118" t="s">
        <v>265</v>
      </c>
      <c r="C22" s="64"/>
      <c r="D22" s="64"/>
      <c r="E22" s="64"/>
      <c r="F22" s="64"/>
      <c r="G22" s="64"/>
      <c r="H22" s="111"/>
      <c r="I22" s="112" t="s">
        <v>264</v>
      </c>
      <c r="J22" s="128">
        <f>400*13.611</f>
        <v>5444.4000000000005</v>
      </c>
      <c r="K22" s="121">
        <v>3.72</v>
      </c>
      <c r="L22" s="114">
        <f>IF(K22=0," ",IF(K22=" -"," -",J22*K22))</f>
        <v>20253.168000000001</v>
      </c>
      <c r="N22" s="107"/>
      <c r="O22" s="121"/>
    </row>
    <row r="23" spans="1:15" x14ac:dyDescent="0.2">
      <c r="A23" s="115"/>
      <c r="B23" s="116"/>
      <c r="C23" s="64"/>
      <c r="D23" s="64"/>
      <c r="E23" s="64"/>
      <c r="F23" s="64"/>
      <c r="G23" s="64"/>
      <c r="H23" s="111"/>
      <c r="I23" s="112"/>
      <c r="J23" s="129"/>
      <c r="K23" s="121"/>
      <c r="L23" s="114"/>
      <c r="N23" s="107"/>
      <c r="O23" s="121"/>
    </row>
    <row r="24" spans="1:15" x14ac:dyDescent="0.2">
      <c r="A24" s="115"/>
      <c r="B24" s="118" t="s">
        <v>266</v>
      </c>
      <c r="C24" s="64"/>
      <c r="D24" s="64"/>
      <c r="E24" s="64"/>
      <c r="F24" s="64"/>
      <c r="G24" s="64"/>
      <c r="H24" s="111"/>
      <c r="I24" s="112"/>
      <c r="J24" s="130"/>
      <c r="K24" s="121"/>
      <c r="L24" s="122"/>
      <c r="N24" s="107"/>
      <c r="O24" s="121"/>
    </row>
    <row r="25" spans="1:15" x14ac:dyDescent="0.2">
      <c r="A25" s="115"/>
      <c r="B25" s="116"/>
      <c r="C25" s="64"/>
      <c r="D25" s="64"/>
      <c r="E25" s="64"/>
      <c r="F25" s="64"/>
      <c r="G25" s="64"/>
      <c r="H25" s="111"/>
      <c r="I25" s="112"/>
      <c r="J25" s="107"/>
      <c r="K25" s="121"/>
      <c r="L25" s="114"/>
      <c r="N25" s="107"/>
      <c r="O25" s="121"/>
    </row>
    <row r="26" spans="1:15" x14ac:dyDescent="0.2">
      <c r="A26" s="115"/>
      <c r="B26" s="116" t="s">
        <v>267</v>
      </c>
      <c r="C26" s="64"/>
      <c r="D26" s="64"/>
      <c r="E26" s="64"/>
      <c r="F26" s="64"/>
      <c r="G26" s="64"/>
      <c r="H26" s="111"/>
      <c r="I26" s="112"/>
      <c r="J26" s="107"/>
      <c r="K26" s="121"/>
      <c r="L26" s="114" t="str">
        <f t="shared" ref="L26:L35" si="1">IF(K26=0," ",IF(K26=" -"," -",J26*K26))</f>
        <v xml:space="preserve"> </v>
      </c>
      <c r="N26" s="107"/>
      <c r="O26" s="121"/>
    </row>
    <row r="27" spans="1:15" x14ac:dyDescent="0.2">
      <c r="A27" s="115"/>
      <c r="B27" s="116" t="s">
        <v>268</v>
      </c>
      <c r="C27" s="64"/>
      <c r="D27" s="64"/>
      <c r="E27" s="64"/>
      <c r="F27" s="64"/>
      <c r="G27" s="64"/>
      <c r="H27" s="111"/>
      <c r="I27" s="112" t="s">
        <v>262</v>
      </c>
      <c r="J27" s="119">
        <v>250</v>
      </c>
      <c r="K27" s="121"/>
      <c r="L27" s="122" t="str">
        <f t="shared" si="1"/>
        <v xml:space="preserve"> </v>
      </c>
      <c r="N27" s="107">
        <v>16</v>
      </c>
      <c r="O27" s="121">
        <v>14.47</v>
      </c>
    </row>
    <row r="28" spans="1:15" x14ac:dyDescent="0.2">
      <c r="A28" s="115"/>
      <c r="B28" s="116" t="s">
        <v>269</v>
      </c>
      <c r="C28" s="64"/>
      <c r="D28" s="64"/>
      <c r="E28" s="64"/>
      <c r="F28" s="64"/>
      <c r="G28" s="64"/>
      <c r="H28" s="111"/>
      <c r="I28" s="112" t="s">
        <v>264</v>
      </c>
      <c r="J28" s="128">
        <f>(250*3.8898)</f>
        <v>972.45</v>
      </c>
      <c r="K28" s="121">
        <v>3.72</v>
      </c>
      <c r="L28" s="122">
        <f t="shared" si="1"/>
        <v>3617.5140000000006</v>
      </c>
      <c r="N28" s="131">
        <v>0.5</v>
      </c>
      <c r="O28" s="121">
        <v>18.04</v>
      </c>
    </row>
    <row r="29" spans="1:15" x14ac:dyDescent="0.2">
      <c r="A29" s="115"/>
      <c r="B29" s="116"/>
      <c r="C29" s="64"/>
      <c r="D29" s="64"/>
      <c r="E29" s="64"/>
      <c r="F29" s="64"/>
      <c r="G29" s="64"/>
      <c r="H29" s="111"/>
      <c r="I29" s="112"/>
      <c r="J29" s="107"/>
      <c r="K29" s="132"/>
      <c r="L29" s="114" t="str">
        <f t="shared" si="1"/>
        <v xml:space="preserve"> </v>
      </c>
      <c r="N29" s="107"/>
      <c r="O29" s="121"/>
    </row>
    <row r="30" spans="1:15" x14ac:dyDescent="0.2">
      <c r="A30" s="115"/>
      <c r="B30" s="116" t="s">
        <v>270</v>
      </c>
      <c r="C30" s="64"/>
      <c r="D30" s="64"/>
      <c r="E30" s="64"/>
      <c r="F30" s="64"/>
      <c r="G30" s="64"/>
      <c r="H30" s="111"/>
      <c r="I30" s="112"/>
      <c r="J30" s="107"/>
      <c r="K30" s="121"/>
      <c r="L30" s="114" t="str">
        <f t="shared" si="1"/>
        <v xml:space="preserve"> </v>
      </c>
      <c r="N30" s="107"/>
      <c r="O30" s="121"/>
    </row>
    <row r="31" spans="1:15" x14ac:dyDescent="0.2">
      <c r="A31" s="115"/>
      <c r="B31" s="116" t="s">
        <v>271</v>
      </c>
      <c r="C31" s="64"/>
      <c r="D31" s="64"/>
      <c r="E31" s="64"/>
      <c r="F31" s="64"/>
      <c r="G31" s="64"/>
      <c r="H31" s="111"/>
      <c r="I31" s="112" t="s">
        <v>262</v>
      </c>
      <c r="J31" s="119">
        <v>370</v>
      </c>
      <c r="K31" s="121"/>
      <c r="L31" s="122" t="str">
        <f t="shared" si="1"/>
        <v xml:space="preserve"> </v>
      </c>
      <c r="N31" s="107">
        <v>771</v>
      </c>
      <c r="O31" s="121">
        <v>18.059999999999999</v>
      </c>
    </row>
    <row r="32" spans="1:15" x14ac:dyDescent="0.2">
      <c r="A32" s="115"/>
      <c r="B32" s="116" t="s">
        <v>272</v>
      </c>
      <c r="C32" s="64"/>
      <c r="D32" s="64"/>
      <c r="E32" s="64"/>
      <c r="F32" s="64"/>
      <c r="G32" s="64"/>
      <c r="H32" s="111"/>
      <c r="I32" s="112" t="s">
        <v>264</v>
      </c>
      <c r="J32" s="128">
        <f>(370*4.85484)</f>
        <v>1796.2908</v>
      </c>
      <c r="K32" s="121">
        <v>3.72</v>
      </c>
      <c r="L32" s="122">
        <f t="shared" si="1"/>
        <v>6682.2017759999999</v>
      </c>
      <c r="N32" s="131">
        <v>0.5</v>
      </c>
      <c r="O32" s="121">
        <v>18.04</v>
      </c>
    </row>
    <row r="33" spans="1:15" x14ac:dyDescent="0.2">
      <c r="A33" s="115"/>
      <c r="B33" s="116"/>
      <c r="C33" s="64"/>
      <c r="D33" s="64"/>
      <c r="E33" s="64"/>
      <c r="F33" s="64"/>
      <c r="G33" s="64"/>
      <c r="H33" s="111"/>
      <c r="I33" s="112"/>
      <c r="J33" s="107"/>
      <c r="K33" s="133"/>
      <c r="L33" s="114" t="str">
        <f t="shared" si="1"/>
        <v xml:space="preserve"> </v>
      </c>
      <c r="N33" s="107"/>
      <c r="O33" s="121"/>
    </row>
    <row r="34" spans="1:15" x14ac:dyDescent="0.2">
      <c r="A34" s="115"/>
      <c r="B34" s="116" t="s">
        <v>273</v>
      </c>
      <c r="C34" s="64"/>
      <c r="D34" s="64"/>
      <c r="E34" s="64"/>
      <c r="F34" s="64"/>
      <c r="G34" s="64"/>
      <c r="H34" s="111"/>
      <c r="I34" s="112" t="s">
        <v>262</v>
      </c>
      <c r="J34" s="119">
        <v>16</v>
      </c>
      <c r="K34" s="121"/>
      <c r="L34" s="122" t="str">
        <f t="shared" si="1"/>
        <v xml:space="preserve"> </v>
      </c>
      <c r="N34" s="107">
        <v>11</v>
      </c>
      <c r="O34" s="121">
        <v>22.5</v>
      </c>
    </row>
    <row r="35" spans="1:15" x14ac:dyDescent="0.2">
      <c r="A35" s="115"/>
      <c r="B35" s="116" t="s">
        <v>274</v>
      </c>
      <c r="C35" s="64"/>
      <c r="D35" s="64"/>
      <c r="E35" s="64"/>
      <c r="F35" s="64"/>
      <c r="G35" s="64"/>
      <c r="H35" s="111"/>
      <c r="I35" s="112" t="s">
        <v>264</v>
      </c>
      <c r="J35" s="128">
        <f>(16*6.0484)</f>
        <v>96.7744</v>
      </c>
      <c r="K35" s="121">
        <v>3.72</v>
      </c>
      <c r="L35" s="122">
        <f t="shared" si="1"/>
        <v>360.00076799999999</v>
      </c>
      <c r="N35" s="107"/>
      <c r="O35" s="121"/>
    </row>
    <row r="36" spans="1:15" x14ac:dyDescent="0.2">
      <c r="A36" s="115"/>
      <c r="B36" s="116"/>
      <c r="C36" s="64"/>
      <c r="D36" s="64"/>
      <c r="E36" s="64"/>
      <c r="F36" s="64"/>
      <c r="G36" s="64"/>
      <c r="H36" s="111"/>
      <c r="I36" s="112"/>
      <c r="J36" s="128"/>
      <c r="K36" s="121"/>
      <c r="L36" s="122"/>
      <c r="N36" s="107"/>
      <c r="O36" s="121"/>
    </row>
    <row r="37" spans="1:15" x14ac:dyDescent="0.2">
      <c r="A37" s="115"/>
      <c r="B37" s="116"/>
      <c r="C37" s="64"/>
      <c r="D37" s="64"/>
      <c r="E37" s="64"/>
      <c r="F37" s="64"/>
      <c r="G37" s="64"/>
      <c r="H37" s="111"/>
      <c r="I37" s="112"/>
      <c r="J37" s="128"/>
      <c r="K37" s="121"/>
      <c r="L37" s="122"/>
      <c r="N37" s="107"/>
      <c r="O37" s="121"/>
    </row>
    <row r="38" spans="1:15" ht="13.5" thickBot="1" x14ac:dyDescent="0.25">
      <c r="A38" s="134"/>
      <c r="B38" s="135"/>
      <c r="C38" s="136"/>
      <c r="D38" s="136"/>
      <c r="E38" s="136"/>
      <c r="F38" s="136"/>
      <c r="G38" s="136"/>
      <c r="H38" s="137"/>
      <c r="I38" s="138"/>
      <c r="J38" s="139"/>
      <c r="K38" s="140"/>
      <c r="L38" s="141"/>
      <c r="N38" s="139"/>
      <c r="O38" s="140"/>
    </row>
    <row r="39" spans="1:15" ht="5.25" customHeight="1" thickBot="1" x14ac:dyDescent="0.25">
      <c r="A39" s="142"/>
      <c r="B39" s="142"/>
      <c r="C39" s="142"/>
      <c r="D39" s="142"/>
      <c r="E39" s="142"/>
      <c r="F39" s="142"/>
      <c r="G39" s="142"/>
      <c r="H39" s="142"/>
      <c r="I39" s="142"/>
      <c r="J39" s="143"/>
      <c r="K39" s="142"/>
      <c r="L39" s="142"/>
      <c r="N39" s="143"/>
      <c r="O39" s="142"/>
    </row>
    <row r="40" spans="1:15" x14ac:dyDescent="0.2">
      <c r="A40" s="93" t="s">
        <v>275</v>
      </c>
      <c r="B40" s="87"/>
      <c r="C40" s="87"/>
      <c r="D40" s="87"/>
      <c r="E40" s="144" t="s">
        <v>276</v>
      </c>
      <c r="F40" s="87"/>
      <c r="G40" s="87"/>
      <c r="H40" s="105"/>
      <c r="I40" s="44" t="s">
        <v>277</v>
      </c>
      <c r="J40" s="145"/>
      <c r="K40" s="144" t="s">
        <v>278</v>
      </c>
      <c r="L40" s="146"/>
      <c r="N40" s="145"/>
      <c r="O40" s="144" t="s">
        <v>278</v>
      </c>
    </row>
    <row r="41" spans="1:15" ht="13.5" customHeight="1" thickBot="1" x14ac:dyDescent="0.25">
      <c r="A41" s="583"/>
      <c r="B41" s="573"/>
      <c r="C41" s="573"/>
      <c r="D41" s="573"/>
      <c r="E41" s="584"/>
      <c r="F41" s="573"/>
      <c r="G41" s="573"/>
      <c r="H41" s="574"/>
      <c r="I41" s="147"/>
      <c r="J41" s="148"/>
      <c r="K41" s="135"/>
      <c r="L41" s="149"/>
      <c r="N41" s="148"/>
      <c r="O41" s="135"/>
    </row>
    <row r="42" spans="1:15" x14ac:dyDescent="0.2">
      <c r="A42" s="115"/>
      <c r="B42" s="116"/>
      <c r="C42" s="64"/>
      <c r="D42" s="64"/>
      <c r="E42" s="64"/>
      <c r="F42" s="64"/>
      <c r="G42" s="64"/>
      <c r="H42" s="111"/>
      <c r="I42" s="112"/>
      <c r="J42" s="107"/>
      <c r="K42" s="150"/>
      <c r="L42" s="114" t="str">
        <f t="shared" ref="L42:L49" si="2">IF(K42=0," ",IF(K42=" -"," -",J42*K42))</f>
        <v xml:space="preserve"> </v>
      </c>
      <c r="N42" s="107"/>
      <c r="O42" s="150"/>
    </row>
    <row r="43" spans="1:15" x14ac:dyDescent="0.2">
      <c r="A43" s="151"/>
      <c r="B43" s="585"/>
      <c r="C43" s="585"/>
      <c r="D43" s="585"/>
      <c r="E43" s="585"/>
      <c r="F43" s="585"/>
      <c r="G43" s="585"/>
      <c r="H43" s="594"/>
      <c r="I43" s="153"/>
      <c r="J43" s="154"/>
      <c r="K43" s="155"/>
      <c r="L43" s="114" t="str">
        <f t="shared" si="2"/>
        <v xml:space="preserve"> </v>
      </c>
      <c r="N43" s="154"/>
      <c r="O43" s="155"/>
    </row>
    <row r="44" spans="1:15" x14ac:dyDescent="0.2">
      <c r="A44" s="151"/>
      <c r="B44" s="585" t="s">
        <v>279</v>
      </c>
      <c r="C44" s="585"/>
      <c r="D44" s="585"/>
      <c r="E44" s="585"/>
      <c r="F44" s="585"/>
      <c r="G44" s="585"/>
      <c r="H44" s="594"/>
      <c r="I44" s="153"/>
      <c r="J44" s="154"/>
      <c r="K44" s="155"/>
      <c r="L44" s="114" t="str">
        <f t="shared" si="2"/>
        <v xml:space="preserve"> </v>
      </c>
      <c r="N44" s="154"/>
      <c r="O44" s="155"/>
    </row>
    <row r="45" spans="1:15" x14ac:dyDescent="0.2">
      <c r="A45" s="151"/>
      <c r="B45" t="s">
        <v>280</v>
      </c>
      <c r="I45" s="153" t="s">
        <v>262</v>
      </c>
      <c r="J45" s="156">
        <v>346</v>
      </c>
      <c r="K45" s="155"/>
      <c r="L45" s="122" t="str">
        <f t="shared" si="2"/>
        <v xml:space="preserve"> </v>
      </c>
      <c r="N45" s="157">
        <v>510</v>
      </c>
      <c r="O45" s="155">
        <v>6.2</v>
      </c>
    </row>
    <row r="46" spans="1:15" x14ac:dyDescent="0.2">
      <c r="A46" s="115"/>
      <c r="B46" s="116" t="s">
        <v>281</v>
      </c>
      <c r="H46" s="111"/>
      <c r="I46" s="112" t="s">
        <v>264</v>
      </c>
      <c r="J46" s="128">
        <f>346*1.1873</f>
        <v>410.80580000000003</v>
      </c>
      <c r="K46" s="150">
        <v>3.72</v>
      </c>
      <c r="L46" s="114">
        <f t="shared" si="2"/>
        <v>1528.1975760000003</v>
      </c>
      <c r="N46" s="157"/>
      <c r="O46" s="158"/>
    </row>
    <row r="47" spans="1:15" x14ac:dyDescent="0.2">
      <c r="A47" s="115"/>
      <c r="B47" s="116" t="s">
        <v>282</v>
      </c>
      <c r="H47" s="111"/>
      <c r="I47" s="112" t="s">
        <v>283</v>
      </c>
      <c r="J47" s="128">
        <f>346*0.004</f>
        <v>1.3840000000000001</v>
      </c>
      <c r="K47" s="150">
        <v>62.67</v>
      </c>
      <c r="L47" s="114">
        <f t="shared" si="2"/>
        <v>86.735280000000003</v>
      </c>
      <c r="N47" s="157"/>
      <c r="O47" s="158"/>
    </row>
    <row r="48" spans="1:15" x14ac:dyDescent="0.2">
      <c r="A48" s="115"/>
      <c r="B48" s="116" t="s">
        <v>284</v>
      </c>
      <c r="H48" s="111"/>
      <c r="I48" s="112" t="s">
        <v>264</v>
      </c>
      <c r="J48" s="128">
        <f>346*0.405485</f>
        <v>140.29781</v>
      </c>
      <c r="K48" s="150">
        <v>3.68</v>
      </c>
      <c r="L48" s="114">
        <f t="shared" si="2"/>
        <v>516.29594080000004</v>
      </c>
      <c r="N48" s="157"/>
      <c r="O48" s="158"/>
    </row>
    <row r="49" spans="1:15" x14ac:dyDescent="0.2">
      <c r="A49" s="115"/>
      <c r="B49" s="116" t="s">
        <v>285</v>
      </c>
      <c r="H49" s="111"/>
      <c r="I49" s="112" t="s">
        <v>264</v>
      </c>
      <c r="J49" s="128">
        <f>346*0.001</f>
        <v>0.34600000000000003</v>
      </c>
      <c r="K49" s="150">
        <v>40.380000000000003</v>
      </c>
      <c r="L49" s="114">
        <f t="shared" si="2"/>
        <v>13.971480000000001</v>
      </c>
      <c r="N49" s="157"/>
      <c r="O49" s="158"/>
    </row>
    <row r="50" spans="1:15" x14ac:dyDescent="0.2">
      <c r="A50" s="115"/>
      <c r="B50" s="116"/>
      <c r="H50" s="111"/>
      <c r="I50" s="112"/>
      <c r="J50" s="128"/>
      <c r="K50" s="150"/>
      <c r="L50" s="114"/>
      <c r="N50" s="157"/>
      <c r="O50" s="158"/>
    </row>
    <row r="51" spans="1:15" x14ac:dyDescent="0.2">
      <c r="A51" s="115"/>
      <c r="B51" s="116"/>
      <c r="H51" s="111"/>
      <c r="I51" s="112"/>
      <c r="J51" s="107"/>
      <c r="K51" s="150"/>
      <c r="L51" s="122"/>
      <c r="N51" s="157"/>
      <c r="O51" s="158"/>
    </row>
    <row r="52" spans="1:15" x14ac:dyDescent="0.2">
      <c r="A52" s="151"/>
      <c r="B52" s="159" t="s">
        <v>381</v>
      </c>
      <c r="C52" s="64"/>
      <c r="D52" s="64"/>
      <c r="I52" s="106"/>
      <c r="J52" s="106"/>
      <c r="K52" s="160"/>
      <c r="L52" s="114" t="str">
        <f>IF(K52=0," ",IF(K52=" -"," -",J52*K52))</f>
        <v xml:space="preserve"> </v>
      </c>
      <c r="N52" s="106"/>
      <c r="O52" s="161"/>
    </row>
    <row r="53" spans="1:15" x14ac:dyDescent="0.2">
      <c r="A53" s="151"/>
      <c r="I53" s="153"/>
      <c r="J53" s="162"/>
      <c r="K53" s="163"/>
      <c r="L53" s="114" t="str">
        <f>IF(K53=0," ",IF(K53=" -"," -",J53*K53))</f>
        <v xml:space="preserve"> </v>
      </c>
      <c r="N53" s="162"/>
      <c r="O53" s="164"/>
    </row>
    <row r="54" spans="1:15" x14ac:dyDescent="0.2">
      <c r="A54" s="151"/>
      <c r="B54" s="159" t="s">
        <v>382</v>
      </c>
      <c r="C54" s="64"/>
      <c r="D54" s="64"/>
      <c r="E54" s="64"/>
      <c r="F54" s="64"/>
      <c r="G54" s="64"/>
      <c r="H54" s="64"/>
      <c r="I54" s="153" t="s">
        <v>262</v>
      </c>
      <c r="J54" s="165">
        <v>385</v>
      </c>
      <c r="K54" s="166"/>
      <c r="L54" s="122" t="str">
        <f>IF(K54=0," ",IF(K54=" -"," -",J54*K54))</f>
        <v xml:space="preserve"> </v>
      </c>
      <c r="N54" s="167">
        <v>9600</v>
      </c>
      <c r="O54" s="166">
        <v>1.51</v>
      </c>
    </row>
    <row r="55" spans="1:15" x14ac:dyDescent="0.2">
      <c r="A55" s="151"/>
      <c r="B55" s="159" t="s">
        <v>383</v>
      </c>
      <c r="C55" s="64"/>
      <c r="D55" s="64"/>
      <c r="E55" s="64"/>
      <c r="F55" s="64"/>
      <c r="G55" s="64"/>
      <c r="H55" s="64"/>
      <c r="I55" s="153" t="s">
        <v>264</v>
      </c>
      <c r="J55" s="168">
        <f>385*0.009948</f>
        <v>3.8299799999999999</v>
      </c>
      <c r="K55" s="166">
        <v>3.72</v>
      </c>
      <c r="L55" s="114">
        <f>IF(K55=0," ",IF(K55=" -"," -",J55*K55))</f>
        <v>14.247525600000001</v>
      </c>
      <c r="N55" s="167"/>
      <c r="O55" s="166"/>
    </row>
    <row r="56" spans="1:15" x14ac:dyDescent="0.2">
      <c r="A56" s="151"/>
      <c r="B56" s="159" t="s">
        <v>384</v>
      </c>
      <c r="C56" s="64"/>
      <c r="D56" s="64"/>
      <c r="E56" s="64"/>
      <c r="F56" s="64"/>
      <c r="G56" s="64"/>
      <c r="H56" s="64"/>
      <c r="I56" s="153" t="s">
        <v>264</v>
      </c>
      <c r="J56" s="168">
        <f>385*0.02</f>
        <v>7.7</v>
      </c>
      <c r="K56" s="166">
        <v>73.650000000000006</v>
      </c>
      <c r="L56" s="114">
        <f>IF(K56=0," ",IF(K56=" -"," -",J56*K56))</f>
        <v>567.10500000000002</v>
      </c>
      <c r="N56" s="167"/>
      <c r="O56" s="166"/>
    </row>
    <row r="57" spans="1:15" x14ac:dyDescent="0.2">
      <c r="A57" s="151"/>
      <c r="B57" s="159"/>
      <c r="C57" s="64"/>
      <c r="D57" s="64"/>
      <c r="E57" s="64"/>
      <c r="F57" s="64"/>
      <c r="G57" s="64"/>
      <c r="H57" s="64"/>
      <c r="I57" s="153"/>
      <c r="J57" s="167"/>
      <c r="K57" s="166"/>
      <c r="L57" s="114"/>
      <c r="N57" s="167"/>
      <c r="O57" s="166"/>
    </row>
    <row r="58" spans="1:15" x14ac:dyDescent="0.2">
      <c r="A58" s="151"/>
      <c r="B58" s="159" t="s">
        <v>111</v>
      </c>
      <c r="C58" s="64"/>
      <c r="D58" s="64"/>
      <c r="E58" s="64"/>
      <c r="F58" s="64"/>
      <c r="G58" s="64"/>
      <c r="H58" s="64"/>
      <c r="I58" s="153" t="s">
        <v>262</v>
      </c>
      <c r="J58" s="165">
        <v>500</v>
      </c>
      <c r="K58" s="166"/>
      <c r="L58" s="122" t="str">
        <f>IF(K58=0," ",IF(K58=" -"," -",J58*K58))</f>
        <v xml:space="preserve"> </v>
      </c>
      <c r="N58" s="167">
        <v>1017</v>
      </c>
      <c r="O58" s="166">
        <v>0.52</v>
      </c>
    </row>
    <row r="59" spans="1:15" x14ac:dyDescent="0.2">
      <c r="A59" s="151"/>
      <c r="B59" s="159" t="s">
        <v>112</v>
      </c>
      <c r="C59" s="64"/>
      <c r="D59" s="64"/>
      <c r="E59" s="64"/>
      <c r="F59" s="64"/>
      <c r="G59" s="64"/>
      <c r="H59" s="64"/>
      <c r="I59" s="153" t="s">
        <v>264</v>
      </c>
      <c r="J59" s="168">
        <f>500*0.729144</f>
        <v>364.572</v>
      </c>
      <c r="K59" s="166">
        <v>3.72</v>
      </c>
      <c r="L59" s="114">
        <f>IF(K59=0," ",IF(K59=" -"," -",J59*K59))</f>
        <v>1356.20784</v>
      </c>
      <c r="N59" s="167"/>
      <c r="O59" s="166"/>
    </row>
    <row r="60" spans="1:15" x14ac:dyDescent="0.2">
      <c r="A60" s="151"/>
      <c r="B60" s="159" t="s">
        <v>113</v>
      </c>
      <c r="C60" s="64"/>
      <c r="D60" s="64"/>
      <c r="E60" s="64"/>
      <c r="F60" s="64"/>
      <c r="G60" s="64"/>
      <c r="H60" s="64"/>
      <c r="I60" s="153" t="s">
        <v>264</v>
      </c>
      <c r="J60" s="168">
        <f>500*0.0056</f>
        <v>2.8</v>
      </c>
      <c r="K60" s="166">
        <v>15.64</v>
      </c>
      <c r="L60" s="114">
        <f>IF(K60=0," ",IF(K60=" -"," -",J60*K60))</f>
        <v>43.792000000000002</v>
      </c>
      <c r="N60" s="167"/>
      <c r="O60" s="166"/>
    </row>
    <row r="61" spans="1:15" x14ac:dyDescent="0.2">
      <c r="A61" s="151"/>
      <c r="B61" s="159"/>
      <c r="C61" s="64"/>
      <c r="D61" s="64"/>
      <c r="E61" s="64"/>
      <c r="F61" s="64"/>
      <c r="G61" s="64"/>
      <c r="H61" s="64"/>
      <c r="I61" s="153"/>
      <c r="J61" s="167"/>
      <c r="K61" s="169"/>
      <c r="L61" s="114"/>
      <c r="N61" s="167"/>
      <c r="O61" s="166"/>
    </row>
    <row r="62" spans="1:15" x14ac:dyDescent="0.2">
      <c r="A62" s="151"/>
      <c r="B62" s="159" t="s">
        <v>114</v>
      </c>
      <c r="C62" s="64"/>
      <c r="D62" s="64"/>
      <c r="E62" s="64"/>
      <c r="F62" s="64"/>
      <c r="G62" s="64"/>
      <c r="H62" s="64"/>
      <c r="I62" s="153" t="s">
        <v>262</v>
      </c>
      <c r="J62" s="165">
        <v>500</v>
      </c>
      <c r="K62" s="166"/>
      <c r="L62" s="122" t="str">
        <f>IF(K62=0," ",IF(K62=" -"," -",J62*K62))</f>
        <v xml:space="preserve"> </v>
      </c>
      <c r="N62" s="167">
        <v>1017</v>
      </c>
      <c r="O62" s="166">
        <v>0.72</v>
      </c>
    </row>
    <row r="63" spans="1:15" x14ac:dyDescent="0.2">
      <c r="A63" s="151"/>
      <c r="B63" s="159" t="s">
        <v>115</v>
      </c>
      <c r="C63" s="64"/>
      <c r="D63" s="64"/>
      <c r="E63" s="64"/>
      <c r="F63" s="64"/>
      <c r="G63" s="64"/>
      <c r="H63" s="64"/>
      <c r="I63" s="153" t="s">
        <v>264</v>
      </c>
      <c r="J63" s="168">
        <f>500*4.551075</f>
        <v>2275.5374999999999</v>
      </c>
      <c r="K63" s="170">
        <v>3.72</v>
      </c>
      <c r="L63" s="122">
        <f>IF(K63=0," ",IF(K63=" -"," -",J63*K63))</f>
        <v>8464.9994999999999</v>
      </c>
      <c r="N63" s="167"/>
      <c r="O63" s="166"/>
    </row>
    <row r="64" spans="1:15" x14ac:dyDescent="0.2">
      <c r="A64" s="151"/>
      <c r="B64" s="159"/>
      <c r="C64" s="64"/>
      <c r="D64" s="64"/>
      <c r="E64" s="64"/>
      <c r="F64" s="64"/>
      <c r="G64" s="64"/>
      <c r="H64" s="64"/>
      <c r="I64" s="153"/>
      <c r="J64" s="168"/>
      <c r="K64" s="170"/>
      <c r="L64" s="127"/>
      <c r="N64" s="167"/>
      <c r="O64" s="166"/>
    </row>
    <row r="65" spans="1:15" x14ac:dyDescent="0.2">
      <c r="A65" s="151"/>
      <c r="B65" s="585" t="s">
        <v>116</v>
      </c>
      <c r="C65" s="586"/>
      <c r="D65" s="586"/>
      <c r="E65" s="586"/>
      <c r="F65" s="586"/>
      <c r="G65" s="586"/>
      <c r="H65" s="587"/>
      <c r="I65" s="153" t="s">
        <v>117</v>
      </c>
      <c r="J65" s="165">
        <v>5000</v>
      </c>
      <c r="K65" s="166"/>
      <c r="L65" s="122" t="str">
        <f>IF(K65=0," ",IF(K65=" -"," -",J65*K65))</f>
        <v xml:space="preserve"> </v>
      </c>
      <c r="N65" s="167">
        <v>10170</v>
      </c>
      <c r="O65" s="166">
        <v>0.78</v>
      </c>
    </row>
    <row r="66" spans="1:15" x14ac:dyDescent="0.2">
      <c r="A66" s="151"/>
      <c r="B66" s="159" t="s">
        <v>118</v>
      </c>
      <c r="C66" s="171"/>
      <c r="D66" s="171"/>
      <c r="E66" s="171"/>
      <c r="F66" s="171"/>
      <c r="G66" s="171"/>
      <c r="H66" s="172"/>
      <c r="I66" s="153" t="s">
        <v>264</v>
      </c>
      <c r="J66" s="168">
        <f>5000*0.02345862</f>
        <v>117.2931</v>
      </c>
      <c r="K66" s="166">
        <v>33.25</v>
      </c>
      <c r="L66" s="122">
        <f>IF(K66=0," ",IF(K66=" -"," -",J66*K66))</f>
        <v>3899.9955749999999</v>
      </c>
      <c r="N66" s="167"/>
      <c r="O66" s="166"/>
    </row>
    <row r="67" spans="1:15" x14ac:dyDescent="0.2">
      <c r="A67" s="151"/>
      <c r="B67" s="159"/>
      <c r="C67" s="171"/>
      <c r="D67" s="171"/>
      <c r="E67" s="171"/>
      <c r="F67" s="171"/>
      <c r="G67" s="171"/>
      <c r="H67" s="172"/>
      <c r="I67" s="153"/>
      <c r="J67" s="168"/>
      <c r="K67" s="166"/>
      <c r="L67" s="122"/>
      <c r="N67" s="167"/>
      <c r="O67" s="166"/>
    </row>
    <row r="68" spans="1:15" x14ac:dyDescent="0.2">
      <c r="A68" s="151"/>
      <c r="B68" s="152"/>
      <c r="C68" s="171"/>
      <c r="D68" s="171"/>
      <c r="E68" s="171"/>
      <c r="F68" s="171"/>
      <c r="G68" s="171"/>
      <c r="H68" s="172"/>
      <c r="I68" s="153"/>
      <c r="J68" s="173"/>
      <c r="K68" s="166"/>
      <c r="L68" s="122"/>
      <c r="N68" s="167"/>
      <c r="O68" s="166"/>
    </row>
    <row r="69" spans="1:15" x14ac:dyDescent="0.2">
      <c r="A69" s="151"/>
      <c r="B69" s="585" t="s">
        <v>119</v>
      </c>
      <c r="C69" s="586"/>
      <c r="D69" s="586"/>
      <c r="E69" s="586"/>
      <c r="F69" s="586"/>
      <c r="G69" s="586"/>
      <c r="H69" s="587"/>
      <c r="I69" s="153" t="s">
        <v>262</v>
      </c>
      <c r="J69" s="165">
        <v>500</v>
      </c>
      <c r="K69" s="155"/>
      <c r="L69" s="122" t="str">
        <f>IF(K69=0," ",IF(K69=" -"," -",J69*K69))</f>
        <v xml:space="preserve"> </v>
      </c>
      <c r="N69" s="167">
        <v>1017</v>
      </c>
      <c r="O69" s="155">
        <v>0.65</v>
      </c>
    </row>
    <row r="70" spans="1:15" x14ac:dyDescent="0.2">
      <c r="A70" s="151"/>
      <c r="B70" s="159" t="s">
        <v>120</v>
      </c>
      <c r="C70" s="171"/>
      <c r="D70" s="171"/>
      <c r="E70" s="171"/>
      <c r="F70" s="171"/>
      <c r="G70" s="171"/>
      <c r="H70" s="172"/>
      <c r="I70" s="153" t="s">
        <v>264</v>
      </c>
      <c r="J70" s="168">
        <f>500*0.0088255</f>
        <v>4.41275</v>
      </c>
      <c r="K70" s="166">
        <v>73.650000000000006</v>
      </c>
      <c r="L70" s="122">
        <f>IF(K70=0," ",IF(K70=" -"," -",J70*K70))</f>
        <v>324.99903750000004</v>
      </c>
      <c r="N70" s="167"/>
      <c r="O70" s="158"/>
    </row>
    <row r="71" spans="1:15" x14ac:dyDescent="0.2">
      <c r="A71" s="151"/>
      <c r="B71" s="152"/>
      <c r="C71" s="171"/>
      <c r="D71" s="171"/>
      <c r="E71" s="171"/>
      <c r="F71" s="171"/>
      <c r="G71" s="171"/>
      <c r="H71" s="172"/>
      <c r="I71" s="153"/>
      <c r="J71" s="165"/>
      <c r="K71" s="158"/>
      <c r="L71" s="114"/>
      <c r="N71" s="167"/>
      <c r="O71" s="158"/>
    </row>
    <row r="72" spans="1:15" x14ac:dyDescent="0.2">
      <c r="A72" s="151"/>
      <c r="B72" s="152"/>
      <c r="C72" s="171"/>
      <c r="D72" s="171"/>
      <c r="E72" s="171"/>
      <c r="F72" s="171"/>
      <c r="G72" s="171"/>
      <c r="H72" s="174"/>
      <c r="I72" s="153"/>
      <c r="J72" s="167"/>
      <c r="K72" s="158"/>
      <c r="L72" s="114" t="str">
        <f>IF(K72=0," ",IF(K72=" -"," -",J72*K72))</f>
        <v xml:space="preserve"> </v>
      </c>
      <c r="N72" s="167"/>
      <c r="O72" s="158"/>
    </row>
    <row r="73" spans="1:15" ht="13.5" thickBot="1" x14ac:dyDescent="0.25">
      <c r="A73" s="134"/>
      <c r="B73" s="135"/>
      <c r="C73" s="136"/>
      <c r="D73" s="136"/>
      <c r="E73" s="136"/>
      <c r="F73" s="136"/>
      <c r="G73" s="136"/>
      <c r="H73" s="137"/>
      <c r="I73" s="138"/>
      <c r="J73" s="139"/>
      <c r="K73" s="140"/>
      <c r="L73" s="141"/>
      <c r="N73" s="139"/>
      <c r="O73" s="140"/>
    </row>
    <row r="74" spans="1:15" ht="5.25" customHeight="1" thickBot="1" x14ac:dyDescent="0.25">
      <c r="A74" s="142"/>
      <c r="B74" s="142"/>
      <c r="C74" s="142"/>
      <c r="D74" s="142"/>
      <c r="E74" s="142"/>
      <c r="F74" s="142"/>
      <c r="G74" s="142"/>
      <c r="H74" s="142"/>
      <c r="I74" s="142"/>
      <c r="J74" s="143"/>
      <c r="K74" s="142"/>
      <c r="L74" s="142"/>
      <c r="N74" s="143"/>
      <c r="O74" s="142"/>
    </row>
    <row r="75" spans="1:15" x14ac:dyDescent="0.2">
      <c r="A75" s="93" t="s">
        <v>275</v>
      </c>
      <c r="B75" s="87"/>
      <c r="C75" s="87"/>
      <c r="D75" s="87"/>
      <c r="E75" s="144" t="s">
        <v>276</v>
      </c>
      <c r="F75" s="87"/>
      <c r="G75" s="87"/>
      <c r="H75" s="105"/>
      <c r="I75" s="44" t="s">
        <v>277</v>
      </c>
      <c r="J75" s="145"/>
      <c r="K75" s="144" t="s">
        <v>278</v>
      </c>
      <c r="L75" s="146"/>
      <c r="N75" s="145"/>
      <c r="O75" s="144" t="s">
        <v>278</v>
      </c>
    </row>
    <row r="76" spans="1:15" ht="13.5" customHeight="1" thickBot="1" x14ac:dyDescent="0.25">
      <c r="A76" s="583"/>
      <c r="B76" s="573"/>
      <c r="C76" s="573"/>
      <c r="D76" s="573"/>
      <c r="E76" s="584"/>
      <c r="F76" s="573"/>
      <c r="G76" s="573"/>
      <c r="H76" s="574"/>
      <c r="I76" s="147"/>
      <c r="J76" s="148"/>
      <c r="K76" s="135"/>
      <c r="L76" s="149"/>
      <c r="N76" s="148"/>
      <c r="O76" s="135"/>
    </row>
    <row r="77" spans="1:15" x14ac:dyDescent="0.2">
      <c r="A77" s="115"/>
      <c r="B77" s="116"/>
      <c r="C77" s="64"/>
      <c r="D77" s="64"/>
      <c r="E77" s="64"/>
      <c r="F77" s="64"/>
      <c r="G77" s="64"/>
      <c r="H77" s="111"/>
      <c r="I77" s="112"/>
      <c r="J77" s="107"/>
      <c r="K77" s="150"/>
      <c r="L77" s="114"/>
      <c r="N77" s="107"/>
      <c r="O77" s="150"/>
    </row>
    <row r="78" spans="1:15" x14ac:dyDescent="0.2">
      <c r="A78" s="115"/>
      <c r="B78" s="116"/>
      <c r="C78" s="64"/>
      <c r="D78" s="64"/>
      <c r="E78" s="64"/>
      <c r="F78" s="64"/>
      <c r="G78" s="64"/>
      <c r="H78" s="111"/>
      <c r="I78" s="112"/>
      <c r="J78" s="107"/>
      <c r="K78" s="150"/>
      <c r="L78" s="114"/>
      <c r="N78" s="107"/>
      <c r="O78" s="150"/>
    </row>
    <row r="79" spans="1:15" x14ac:dyDescent="0.2">
      <c r="A79" s="115"/>
      <c r="B79" s="116" t="s">
        <v>121</v>
      </c>
      <c r="C79" s="64"/>
      <c r="D79" s="64"/>
      <c r="E79" s="64"/>
      <c r="F79" s="64"/>
      <c r="G79" s="64"/>
      <c r="H79" s="111"/>
      <c r="I79" s="112"/>
      <c r="J79" s="107"/>
      <c r="K79" s="150"/>
      <c r="L79" s="114" t="str">
        <f t="shared" ref="L79:L84" si="3">IF(K79=0," ",IF(K79=" -"," -",J79*K79))</f>
        <v xml:space="preserve"> </v>
      </c>
      <c r="N79" s="107"/>
      <c r="O79" s="150"/>
    </row>
    <row r="80" spans="1:15" x14ac:dyDescent="0.2">
      <c r="A80" s="115"/>
      <c r="B80" s="116"/>
      <c r="C80" s="64"/>
      <c r="D80" s="64"/>
      <c r="E80" s="64"/>
      <c r="F80" s="64"/>
      <c r="G80" s="64"/>
      <c r="H80" s="111"/>
      <c r="I80" s="112"/>
      <c r="J80" s="107"/>
      <c r="K80" s="150"/>
      <c r="L80" s="114" t="str">
        <f t="shared" si="3"/>
        <v xml:space="preserve"> </v>
      </c>
      <c r="N80" s="107"/>
      <c r="O80" s="150"/>
    </row>
    <row r="81" spans="1:15" x14ac:dyDescent="0.2">
      <c r="A81" s="115"/>
      <c r="B81" s="116" t="s">
        <v>122</v>
      </c>
      <c r="C81" s="64"/>
      <c r="D81" s="64"/>
      <c r="E81" s="64"/>
      <c r="F81" s="64"/>
      <c r="G81" s="64"/>
      <c r="H81" s="111"/>
      <c r="I81" s="112"/>
      <c r="J81" s="107"/>
      <c r="K81" s="121"/>
      <c r="L81" s="114" t="str">
        <f t="shared" si="3"/>
        <v xml:space="preserve"> </v>
      </c>
      <c r="N81" s="107"/>
      <c r="O81" s="121"/>
    </row>
    <row r="82" spans="1:15" x14ac:dyDescent="0.2">
      <c r="A82" s="151"/>
      <c r="B82" s="116" t="s">
        <v>123</v>
      </c>
      <c r="C82" s="64"/>
      <c r="D82" s="64"/>
      <c r="E82" s="64"/>
      <c r="F82" s="64"/>
      <c r="G82" s="64"/>
      <c r="H82" s="111"/>
      <c r="I82" s="112" t="s">
        <v>255</v>
      </c>
      <c r="J82" s="175">
        <v>344.83</v>
      </c>
      <c r="K82" s="121"/>
      <c r="L82" s="122" t="str">
        <f t="shared" si="3"/>
        <v xml:space="preserve"> </v>
      </c>
      <c r="N82" s="107">
        <v>345</v>
      </c>
      <c r="O82" s="121">
        <v>51.8</v>
      </c>
    </row>
    <row r="83" spans="1:15" x14ac:dyDescent="0.2">
      <c r="A83" s="151"/>
      <c r="B83" s="176" t="s">
        <v>124</v>
      </c>
      <c r="C83" s="64"/>
      <c r="D83" s="64"/>
      <c r="E83" s="64"/>
      <c r="F83" s="64"/>
      <c r="G83" s="64"/>
      <c r="H83" s="111"/>
      <c r="I83" s="112" t="s">
        <v>264</v>
      </c>
      <c r="J83" s="128">
        <f>344.83*4.1553</f>
        <v>1432.8720990000002</v>
      </c>
      <c r="K83" s="121">
        <v>3.72</v>
      </c>
      <c r="L83" s="114">
        <f t="shared" si="3"/>
        <v>5330.2842082800007</v>
      </c>
      <c r="N83" s="107"/>
      <c r="O83" s="121"/>
    </row>
    <row r="84" spans="1:15" x14ac:dyDescent="0.2">
      <c r="A84" s="151"/>
      <c r="B84" s="116" t="s">
        <v>125</v>
      </c>
      <c r="C84" s="64"/>
      <c r="D84" s="64"/>
      <c r="E84" s="64"/>
      <c r="F84" s="64"/>
      <c r="G84" s="64"/>
      <c r="H84" s="111"/>
      <c r="I84" s="112" t="s">
        <v>264</v>
      </c>
      <c r="J84" s="128">
        <f>344.83*0.4321</f>
        <v>149.00104299999998</v>
      </c>
      <c r="K84" s="121">
        <v>2.37</v>
      </c>
      <c r="L84" s="114">
        <f t="shared" si="3"/>
        <v>353.13247190999999</v>
      </c>
      <c r="N84" s="107"/>
      <c r="O84" s="121"/>
    </row>
    <row r="85" spans="1:15" x14ac:dyDescent="0.2">
      <c r="A85" s="115"/>
      <c r="B85" s="116"/>
      <c r="C85" s="64"/>
      <c r="D85" s="64"/>
      <c r="E85" s="64"/>
      <c r="F85" s="64"/>
      <c r="G85" s="64"/>
      <c r="H85" s="111"/>
      <c r="I85" s="112"/>
      <c r="J85" s="128"/>
      <c r="K85" s="121"/>
      <c r="L85" s="114"/>
      <c r="N85" s="107"/>
      <c r="O85" s="121"/>
    </row>
    <row r="86" spans="1:15" x14ac:dyDescent="0.2">
      <c r="A86" s="115"/>
      <c r="B86" s="116"/>
      <c r="C86" s="64"/>
      <c r="D86" s="64"/>
      <c r="E86" s="64"/>
      <c r="F86" s="64"/>
      <c r="G86" s="64"/>
      <c r="H86" s="111"/>
      <c r="I86" s="112"/>
      <c r="J86" s="107"/>
      <c r="K86" s="121"/>
      <c r="L86" s="114"/>
      <c r="N86" s="107"/>
      <c r="O86" s="121"/>
    </row>
    <row r="87" spans="1:15" x14ac:dyDescent="0.2">
      <c r="A87" s="115"/>
      <c r="B87" s="116" t="s">
        <v>2</v>
      </c>
      <c r="C87" s="64"/>
      <c r="D87" s="64"/>
      <c r="E87" s="64"/>
      <c r="F87" s="64"/>
      <c r="G87" s="64"/>
      <c r="H87" s="111"/>
      <c r="I87" s="112"/>
      <c r="J87" s="107"/>
      <c r="K87" s="121"/>
      <c r="L87" s="122"/>
      <c r="N87" s="107"/>
      <c r="O87" s="121"/>
    </row>
    <row r="88" spans="1:15" x14ac:dyDescent="0.2">
      <c r="A88" s="115"/>
      <c r="B88" s="116"/>
      <c r="C88" s="64"/>
      <c r="D88" s="64"/>
      <c r="E88" s="64"/>
      <c r="F88" s="64"/>
      <c r="G88" s="64"/>
      <c r="H88" s="111"/>
      <c r="I88" s="112"/>
      <c r="J88" s="107"/>
      <c r="K88" s="121"/>
      <c r="L88" s="114" t="str">
        <f>IF(K88=0," ",IF(K88=" -"," -",J88*K88))</f>
        <v xml:space="preserve"> </v>
      </c>
      <c r="N88" s="107"/>
      <c r="O88" s="121"/>
    </row>
    <row r="89" spans="1:15" x14ac:dyDescent="0.2">
      <c r="A89" s="115"/>
      <c r="B89" s="116" t="s">
        <v>3</v>
      </c>
      <c r="C89" s="64"/>
      <c r="D89" s="64"/>
      <c r="E89" s="64"/>
      <c r="F89" s="64"/>
      <c r="G89" s="64"/>
      <c r="H89" s="111"/>
      <c r="I89" s="112" t="s">
        <v>4</v>
      </c>
      <c r="J89" s="175">
        <v>1009.5</v>
      </c>
      <c r="K89" s="121"/>
      <c r="L89" s="122" t="str">
        <f>IF(K89=0," ",IF(K89=" -"," -",J89*K89))</f>
        <v xml:space="preserve"> </v>
      </c>
      <c r="N89" s="107">
        <v>1002</v>
      </c>
      <c r="O89" s="121">
        <v>21.07</v>
      </c>
    </row>
    <row r="90" spans="1:15" x14ac:dyDescent="0.2">
      <c r="A90" s="115"/>
      <c r="B90" s="116" t="s">
        <v>5</v>
      </c>
      <c r="C90" s="64"/>
      <c r="D90" s="64"/>
      <c r="E90" s="64"/>
      <c r="F90" s="64"/>
      <c r="G90" s="64"/>
      <c r="H90" s="111"/>
      <c r="I90" s="112" t="s">
        <v>264</v>
      </c>
      <c r="J90" s="177">
        <f>1009.5*1.494</f>
        <v>1508.193</v>
      </c>
      <c r="K90" s="121">
        <v>5.79</v>
      </c>
      <c r="L90" s="114">
        <f>IF(K90=0," ",IF(K90=" -"," -",J90*K90))</f>
        <v>8732.4374700000008</v>
      </c>
      <c r="N90" s="107"/>
      <c r="O90" s="121"/>
    </row>
    <row r="91" spans="1:15" x14ac:dyDescent="0.2">
      <c r="A91" s="115"/>
      <c r="B91" s="116" t="s">
        <v>6</v>
      </c>
      <c r="C91" s="64"/>
      <c r="D91" s="64"/>
      <c r="E91" s="64"/>
      <c r="F91" s="64"/>
      <c r="G91" s="64"/>
      <c r="H91" s="111"/>
      <c r="I91" s="112" t="s">
        <v>264</v>
      </c>
      <c r="J91" s="177">
        <f>1009.5*1.4973</f>
        <v>1511.5243500000001</v>
      </c>
      <c r="K91" s="121">
        <v>3.72</v>
      </c>
      <c r="L91" s="114">
        <f>IF(K91=0," ",IF(K91=" -"," -",J91*K91))</f>
        <v>5622.8705820000005</v>
      </c>
      <c r="N91" s="107"/>
      <c r="O91" s="121"/>
    </row>
    <row r="92" spans="1:15" x14ac:dyDescent="0.2">
      <c r="A92" s="115"/>
      <c r="B92" s="116"/>
      <c r="C92" s="64"/>
      <c r="D92" s="64"/>
      <c r="E92" s="64"/>
      <c r="F92" s="64"/>
      <c r="G92" s="64"/>
      <c r="H92" s="111"/>
      <c r="I92" s="112"/>
      <c r="J92" s="178"/>
      <c r="K92" s="121"/>
      <c r="L92" s="114"/>
      <c r="N92" s="107"/>
      <c r="O92" s="121"/>
    </row>
    <row r="93" spans="1:15" x14ac:dyDescent="0.2">
      <c r="A93" s="115"/>
      <c r="B93" s="116" t="s">
        <v>359</v>
      </c>
      <c r="C93" s="64"/>
      <c r="D93" s="64"/>
      <c r="E93" s="64"/>
      <c r="F93" s="64"/>
      <c r="G93" s="64"/>
      <c r="H93" s="111"/>
      <c r="I93" s="112" t="s">
        <v>4</v>
      </c>
      <c r="J93" s="175">
        <v>16.86</v>
      </c>
      <c r="K93" s="121"/>
      <c r="L93" s="122" t="str">
        <f>IF(K93=0," ",IF(K93=" -"," -",J93*K93))</f>
        <v xml:space="preserve"> </v>
      </c>
      <c r="N93" s="107">
        <v>17</v>
      </c>
      <c r="O93" s="121">
        <v>34.58</v>
      </c>
    </row>
    <row r="94" spans="1:15" x14ac:dyDescent="0.2">
      <c r="A94" s="115"/>
      <c r="B94" s="116" t="s">
        <v>360</v>
      </c>
      <c r="C94" s="64"/>
      <c r="D94" s="64"/>
      <c r="E94" s="64"/>
      <c r="F94" s="64"/>
      <c r="G94" s="64"/>
      <c r="H94" s="111"/>
      <c r="I94" s="112" t="s">
        <v>264</v>
      </c>
      <c r="J94" s="177">
        <f>16.86*1.9724</f>
        <v>33.254663999999998</v>
      </c>
      <c r="K94" s="121">
        <v>5.79</v>
      </c>
      <c r="L94" s="114">
        <f>IF(K94=0," ",IF(K94=" -"," -",J94*K94))</f>
        <v>192.54450455999998</v>
      </c>
      <c r="N94" s="107"/>
      <c r="O94" s="121"/>
    </row>
    <row r="95" spans="1:15" x14ac:dyDescent="0.2">
      <c r="A95" s="115"/>
      <c r="B95" s="116" t="s">
        <v>361</v>
      </c>
      <c r="C95" s="64"/>
      <c r="D95" s="64"/>
      <c r="E95" s="64"/>
      <c r="F95" s="64"/>
      <c r="G95" s="64"/>
      <c r="H95" s="111"/>
      <c r="I95" s="112" t="s">
        <v>264</v>
      </c>
      <c r="J95" s="177">
        <f>16.86*1.9731</f>
        <v>33.266466000000001</v>
      </c>
      <c r="K95" s="121">
        <v>3.72</v>
      </c>
      <c r="L95" s="114">
        <f>IF(K95=0," ",IF(K95=" -"," -",J95*K95))</f>
        <v>123.75125352000001</v>
      </c>
      <c r="N95" s="107"/>
      <c r="O95" s="121"/>
    </row>
    <row r="96" spans="1:15" x14ac:dyDescent="0.2">
      <c r="A96" s="115"/>
      <c r="B96" s="116"/>
      <c r="C96" s="64"/>
      <c r="D96" s="64"/>
      <c r="E96" s="64"/>
      <c r="F96" s="64"/>
      <c r="G96" s="64"/>
      <c r="H96" s="111"/>
      <c r="I96" s="112"/>
      <c r="J96" s="175"/>
      <c r="K96" s="121"/>
      <c r="L96" s="114"/>
      <c r="N96" s="107"/>
      <c r="O96" s="121"/>
    </row>
    <row r="97" spans="1:15" x14ac:dyDescent="0.2">
      <c r="A97" s="115"/>
      <c r="B97" s="116" t="s">
        <v>362</v>
      </c>
      <c r="C97" s="64"/>
      <c r="D97" s="64"/>
      <c r="E97" s="64"/>
      <c r="F97" s="64"/>
      <c r="G97" s="64"/>
      <c r="H97" s="111"/>
      <c r="I97" s="112"/>
      <c r="J97" s="129"/>
      <c r="K97" s="121"/>
      <c r="L97" s="114" t="str">
        <f>IF(K97=0," ",IF(K97=" -"," -",J97*K97))</f>
        <v xml:space="preserve"> </v>
      </c>
      <c r="N97" s="107"/>
      <c r="O97" s="121"/>
    </row>
    <row r="98" spans="1:15" x14ac:dyDescent="0.2">
      <c r="A98" s="115"/>
      <c r="B98" s="116" t="s">
        <v>363</v>
      </c>
      <c r="C98" s="64"/>
      <c r="D98" s="64"/>
      <c r="E98" s="64"/>
      <c r="F98" s="64"/>
      <c r="G98" s="64"/>
      <c r="H98" s="111"/>
      <c r="I98" s="112" t="s">
        <v>4</v>
      </c>
      <c r="J98" s="175">
        <v>952.81</v>
      </c>
      <c r="K98" s="121"/>
      <c r="L98" s="122" t="str">
        <f>IF(K98=0," ",IF(K98=" -"," -",J98*K98))</f>
        <v xml:space="preserve"> </v>
      </c>
      <c r="N98" s="107">
        <v>477</v>
      </c>
      <c r="O98" s="121">
        <v>39.29</v>
      </c>
    </row>
    <row r="99" spans="1:15" x14ac:dyDescent="0.2">
      <c r="A99" s="115"/>
      <c r="B99" s="116" t="s">
        <v>364</v>
      </c>
      <c r="C99" s="64"/>
      <c r="D99" s="64"/>
      <c r="E99" s="64"/>
      <c r="F99" s="64"/>
      <c r="G99" s="64"/>
      <c r="H99" s="111"/>
      <c r="I99" s="112" t="s">
        <v>264</v>
      </c>
      <c r="J99" s="177">
        <f>952.81*1.9931</f>
        <v>1899.045611</v>
      </c>
      <c r="K99" s="121">
        <v>5.79</v>
      </c>
      <c r="L99" s="114">
        <f>IF(K99=0," ",IF(K99=" -"," -",J99*K99))</f>
        <v>10995.47408769</v>
      </c>
      <c r="N99" s="107"/>
      <c r="O99" s="121"/>
    </row>
    <row r="100" spans="1:15" x14ac:dyDescent="0.2">
      <c r="A100" s="115"/>
      <c r="B100" s="116" t="s">
        <v>365</v>
      </c>
      <c r="C100" s="64"/>
      <c r="D100" s="64"/>
      <c r="E100" s="64"/>
      <c r="F100" s="64"/>
      <c r="G100" s="64"/>
      <c r="H100" s="111"/>
      <c r="I100" s="112" t="s">
        <v>264</v>
      </c>
      <c r="J100" s="177">
        <f>952.81*1.9946</f>
        <v>1900.4748259999999</v>
      </c>
      <c r="K100" s="121">
        <v>3.72</v>
      </c>
      <c r="L100" s="114">
        <f>IF(K100=0," ",IF(K100=" -"," -",J100*K100))</f>
        <v>7069.7663527200002</v>
      </c>
      <c r="N100" s="107"/>
      <c r="O100" s="121"/>
    </row>
    <row r="101" spans="1:15" x14ac:dyDescent="0.2">
      <c r="A101" s="151"/>
      <c r="B101" s="116"/>
      <c r="C101" s="64"/>
      <c r="D101" s="64"/>
      <c r="E101" s="64"/>
      <c r="F101" s="64"/>
      <c r="G101" s="64"/>
      <c r="H101" s="111"/>
      <c r="I101" s="112"/>
      <c r="J101" s="129"/>
      <c r="K101" s="121"/>
      <c r="L101" s="114"/>
      <c r="N101" s="107"/>
      <c r="O101" s="121"/>
    </row>
    <row r="102" spans="1:15" x14ac:dyDescent="0.2">
      <c r="A102" s="151"/>
      <c r="B102" s="116"/>
      <c r="C102" s="64"/>
      <c r="D102" s="64"/>
      <c r="E102" s="64"/>
      <c r="F102" s="64"/>
      <c r="G102" s="64"/>
      <c r="H102" s="111"/>
      <c r="I102" s="112"/>
      <c r="J102" s="129"/>
      <c r="K102" s="121"/>
      <c r="L102" s="114"/>
      <c r="N102" s="107"/>
      <c r="O102" s="121"/>
    </row>
    <row r="103" spans="1:15" x14ac:dyDescent="0.2">
      <c r="A103" s="151"/>
      <c r="B103" s="118" t="s">
        <v>366</v>
      </c>
      <c r="C103" s="64"/>
      <c r="D103" s="64"/>
      <c r="E103" s="64"/>
      <c r="F103" s="64"/>
      <c r="G103" s="64"/>
      <c r="H103" s="111"/>
      <c r="I103" s="112" t="s">
        <v>367</v>
      </c>
      <c r="J103" s="175">
        <v>14188</v>
      </c>
      <c r="K103" s="121"/>
      <c r="L103" s="122" t="str">
        <f>IF(K103=0," ",IF(K103=" -"," -",J103*K103))</f>
        <v xml:space="preserve"> </v>
      </c>
      <c r="N103" s="107">
        <v>11520</v>
      </c>
      <c r="O103" s="121">
        <v>4.3</v>
      </c>
    </row>
    <row r="104" spans="1:15" x14ac:dyDescent="0.2">
      <c r="A104" s="151"/>
      <c r="B104" s="118" t="s">
        <v>368</v>
      </c>
      <c r="C104" s="64"/>
      <c r="D104" s="64"/>
      <c r="E104" s="64"/>
      <c r="F104" s="64"/>
      <c r="G104" s="64"/>
      <c r="H104" s="111"/>
      <c r="I104" s="112" t="s">
        <v>264</v>
      </c>
      <c r="J104" s="177">
        <f>14188*0.1002</f>
        <v>1421.6376</v>
      </c>
      <c r="K104" s="121">
        <v>5.79</v>
      </c>
      <c r="L104" s="114">
        <f>IF(K104=0," ",IF(K104=" -"," -",J104*K104))</f>
        <v>8231.2817040000009</v>
      </c>
      <c r="N104" s="107"/>
      <c r="O104" s="121"/>
    </row>
    <row r="105" spans="1:15" x14ac:dyDescent="0.2">
      <c r="A105" s="151"/>
      <c r="B105" s="118" t="s">
        <v>369</v>
      </c>
      <c r="C105" s="64"/>
      <c r="D105" s="64"/>
      <c r="E105" s="64"/>
      <c r="F105" s="64"/>
      <c r="G105" s="64"/>
      <c r="H105" s="111"/>
      <c r="I105" s="112" t="s">
        <v>264</v>
      </c>
      <c r="J105" s="177">
        <f>14188*0.0894</f>
        <v>1268.4071999999999</v>
      </c>
      <c r="K105" s="121">
        <v>4.3600000000000003</v>
      </c>
      <c r="L105" s="114">
        <f>IF(K105=0," ",IF(K105=" -"," -",J105*K105))</f>
        <v>5530.255392</v>
      </c>
      <c r="N105" s="107"/>
      <c r="O105" s="121"/>
    </row>
    <row r="106" spans="1:15" x14ac:dyDescent="0.2">
      <c r="A106" s="151"/>
      <c r="B106" s="118"/>
      <c r="C106" s="64"/>
      <c r="D106" s="64"/>
      <c r="E106" s="64"/>
      <c r="F106" s="64"/>
      <c r="G106" s="64"/>
      <c r="H106" s="111"/>
      <c r="I106" s="112"/>
      <c r="J106" s="177"/>
      <c r="K106" s="121"/>
      <c r="L106" s="114"/>
      <c r="N106" s="107"/>
      <c r="O106" s="121"/>
    </row>
    <row r="107" spans="1:15" x14ac:dyDescent="0.2">
      <c r="A107" s="151"/>
      <c r="B107" s="118"/>
      <c r="C107" s="64"/>
      <c r="D107" s="64"/>
      <c r="E107" s="64"/>
      <c r="F107" s="64"/>
      <c r="G107" s="64"/>
      <c r="H107" s="111"/>
      <c r="I107" s="112"/>
      <c r="J107" s="177"/>
      <c r="K107" s="121"/>
      <c r="L107" s="114"/>
      <c r="N107" s="107"/>
      <c r="O107" s="121"/>
    </row>
    <row r="108" spans="1:15" ht="13.5" thickBot="1" x14ac:dyDescent="0.25">
      <c r="A108" s="134"/>
      <c r="B108" s="135"/>
      <c r="C108" s="136"/>
      <c r="D108" s="136"/>
      <c r="E108" s="136"/>
      <c r="F108" s="136"/>
      <c r="G108" s="136"/>
      <c r="H108" s="137"/>
      <c r="I108" s="138"/>
      <c r="J108" s="139"/>
      <c r="K108" s="140"/>
      <c r="L108" s="141"/>
      <c r="N108" s="139"/>
      <c r="O108" s="140"/>
    </row>
    <row r="109" spans="1:15" ht="5.25" customHeight="1" thickBot="1" x14ac:dyDescent="0.25">
      <c r="A109" s="142"/>
      <c r="B109" s="142"/>
      <c r="C109" s="142"/>
      <c r="D109" s="142"/>
      <c r="E109" s="142"/>
      <c r="F109" s="142"/>
      <c r="G109" s="142"/>
      <c r="H109" s="142"/>
      <c r="I109" s="142"/>
      <c r="J109" s="143"/>
      <c r="K109" s="142"/>
      <c r="L109" s="142"/>
      <c r="N109" s="143"/>
      <c r="O109" s="142"/>
    </row>
    <row r="110" spans="1:15" x14ac:dyDescent="0.2">
      <c r="A110" s="93" t="s">
        <v>275</v>
      </c>
      <c r="B110" s="87"/>
      <c r="C110" s="87"/>
      <c r="D110" s="87"/>
      <c r="E110" s="144" t="s">
        <v>276</v>
      </c>
      <c r="F110" s="87"/>
      <c r="G110" s="87"/>
      <c r="H110" s="105"/>
      <c r="I110" s="44" t="s">
        <v>277</v>
      </c>
      <c r="J110" s="145"/>
      <c r="K110" s="144" t="s">
        <v>278</v>
      </c>
      <c r="L110" s="146"/>
      <c r="N110" s="145"/>
      <c r="O110" s="144" t="s">
        <v>278</v>
      </c>
    </row>
    <row r="111" spans="1:15" ht="13.5" customHeight="1" thickBot="1" x14ac:dyDescent="0.25">
      <c r="A111" s="583"/>
      <c r="B111" s="573"/>
      <c r="C111" s="573"/>
      <c r="D111" s="573"/>
      <c r="E111" s="584"/>
      <c r="F111" s="573"/>
      <c r="G111" s="573"/>
      <c r="H111" s="574"/>
      <c r="I111" s="147"/>
      <c r="J111" s="148"/>
      <c r="K111" s="135"/>
      <c r="L111" s="149"/>
      <c r="N111" s="148"/>
      <c r="O111" s="135"/>
    </row>
    <row r="112" spans="1:15" x14ac:dyDescent="0.2">
      <c r="A112" s="151"/>
      <c r="B112" s="118"/>
      <c r="C112" s="64"/>
      <c r="D112" s="64"/>
      <c r="E112" s="64"/>
      <c r="F112" s="64"/>
      <c r="G112" s="64"/>
      <c r="H112" s="111"/>
      <c r="I112" s="112"/>
      <c r="J112" s="177"/>
      <c r="K112" s="121"/>
      <c r="L112" s="114"/>
      <c r="N112" s="107"/>
      <c r="O112" s="121"/>
    </row>
    <row r="113" spans="1:15" x14ac:dyDescent="0.2">
      <c r="A113" s="151"/>
      <c r="B113" s="116" t="s">
        <v>370</v>
      </c>
      <c r="C113" s="64"/>
      <c r="D113" s="64"/>
      <c r="E113" s="64"/>
      <c r="F113" s="64"/>
      <c r="G113" s="64"/>
      <c r="H113" s="111"/>
      <c r="I113" s="112"/>
      <c r="J113" s="177"/>
      <c r="K113" s="121"/>
      <c r="L113" s="114"/>
      <c r="N113" s="107"/>
      <c r="O113" s="121"/>
    </row>
    <row r="114" spans="1:15" x14ac:dyDescent="0.2">
      <c r="A114" s="151"/>
      <c r="B114" s="116"/>
      <c r="C114" s="64"/>
      <c r="D114" s="64"/>
      <c r="E114" s="64"/>
      <c r="F114" s="64"/>
      <c r="G114" s="64"/>
      <c r="H114" s="111"/>
      <c r="I114" s="112"/>
      <c r="J114" s="177"/>
      <c r="K114" s="121"/>
      <c r="L114" s="114"/>
      <c r="N114" s="107"/>
      <c r="O114" s="121"/>
    </row>
    <row r="115" spans="1:15" x14ac:dyDescent="0.2">
      <c r="A115" s="151"/>
      <c r="B115" s="116" t="s">
        <v>371</v>
      </c>
      <c r="C115" s="64"/>
      <c r="D115" s="64"/>
      <c r="E115" s="64"/>
      <c r="F115" s="64"/>
      <c r="G115" s="64"/>
      <c r="H115" s="111"/>
      <c r="I115" s="112" t="s">
        <v>262</v>
      </c>
      <c r="J115" s="175">
        <v>193</v>
      </c>
      <c r="K115" s="121"/>
      <c r="L115" s="122" t="str">
        <f t="shared" ref="L115:L125" si="4">IF(K115=0," ",IF(K115=" -"," -",J115*K115))</f>
        <v xml:space="preserve"> </v>
      </c>
      <c r="N115" s="107">
        <v>192</v>
      </c>
      <c r="O115" s="121">
        <v>256.13</v>
      </c>
    </row>
    <row r="116" spans="1:15" x14ac:dyDescent="0.2">
      <c r="A116" s="151"/>
      <c r="B116" s="116" t="s">
        <v>372</v>
      </c>
      <c r="C116" s="64"/>
      <c r="D116" s="64"/>
      <c r="E116" s="64"/>
      <c r="F116" s="64"/>
      <c r="G116" s="64"/>
      <c r="H116" s="111"/>
      <c r="I116" s="112" t="s">
        <v>264</v>
      </c>
      <c r="J116" s="177">
        <f>193*3.4801</f>
        <v>671.65930000000003</v>
      </c>
      <c r="K116" s="121">
        <v>5.79</v>
      </c>
      <c r="L116" s="114">
        <f t="shared" si="4"/>
        <v>3888.9073470000003</v>
      </c>
      <c r="N116" s="107"/>
      <c r="O116" s="121"/>
    </row>
    <row r="117" spans="1:15" x14ac:dyDescent="0.2">
      <c r="A117" s="151"/>
      <c r="B117" s="116" t="s">
        <v>373</v>
      </c>
      <c r="C117" s="64"/>
      <c r="D117" s="64"/>
      <c r="E117" s="64"/>
      <c r="F117" s="64"/>
      <c r="G117" s="64"/>
      <c r="H117" s="111"/>
      <c r="I117" s="112" t="s">
        <v>264</v>
      </c>
      <c r="J117" s="177">
        <f>193*15.0134</f>
        <v>2897.5862000000002</v>
      </c>
      <c r="K117" s="121">
        <v>3.72</v>
      </c>
      <c r="L117" s="114">
        <f t="shared" si="4"/>
        <v>10779.020664000001</v>
      </c>
      <c r="N117" s="107"/>
      <c r="O117" s="121"/>
    </row>
    <row r="118" spans="1:15" x14ac:dyDescent="0.2">
      <c r="A118" s="151"/>
      <c r="B118" s="116" t="s">
        <v>374</v>
      </c>
      <c r="C118" s="64"/>
      <c r="D118" s="64"/>
      <c r="E118" s="64"/>
      <c r="F118" s="64"/>
      <c r="G118" s="64"/>
      <c r="H118" s="111"/>
      <c r="I118" s="112" t="s">
        <v>264</v>
      </c>
      <c r="J118" s="177">
        <f>193*2.1983</f>
        <v>424.27190000000002</v>
      </c>
      <c r="K118" s="121">
        <v>2.37</v>
      </c>
      <c r="L118" s="114">
        <f t="shared" si="4"/>
        <v>1005.5244030000001</v>
      </c>
      <c r="N118" s="107"/>
      <c r="O118" s="121"/>
    </row>
    <row r="119" spans="1:15" x14ac:dyDescent="0.2">
      <c r="A119" s="151"/>
      <c r="B119" s="116" t="s">
        <v>375</v>
      </c>
      <c r="C119" s="64"/>
      <c r="D119" s="64"/>
      <c r="E119" s="64"/>
      <c r="F119" s="64"/>
      <c r="G119" s="64"/>
      <c r="H119" s="111"/>
      <c r="I119" s="112" t="s">
        <v>264</v>
      </c>
      <c r="J119" s="177">
        <f>193*5.8868</f>
        <v>1136.1523999999999</v>
      </c>
      <c r="K119" s="121">
        <v>1.06</v>
      </c>
      <c r="L119" s="114">
        <f t="shared" si="4"/>
        <v>1204.3215439999999</v>
      </c>
      <c r="N119" s="107"/>
      <c r="O119" s="121"/>
    </row>
    <row r="120" spans="1:15" x14ac:dyDescent="0.2">
      <c r="A120" s="151"/>
      <c r="B120" s="116"/>
      <c r="C120" s="64"/>
      <c r="D120" s="64"/>
      <c r="E120" s="64"/>
      <c r="F120" s="64"/>
      <c r="G120" s="64"/>
      <c r="H120" s="111"/>
      <c r="I120" s="112"/>
      <c r="J120" s="178"/>
      <c r="K120" s="121"/>
      <c r="L120" s="114" t="str">
        <f t="shared" si="4"/>
        <v xml:space="preserve"> </v>
      </c>
      <c r="N120" s="107"/>
      <c r="O120" s="121"/>
    </row>
    <row r="121" spans="1:15" x14ac:dyDescent="0.2">
      <c r="A121" s="151"/>
      <c r="B121" s="116" t="s">
        <v>376</v>
      </c>
      <c r="C121" s="64"/>
      <c r="D121" s="64"/>
      <c r="E121" s="64"/>
      <c r="F121" s="64"/>
      <c r="G121" s="64"/>
      <c r="H121" s="111"/>
      <c r="I121" s="112" t="s">
        <v>262</v>
      </c>
      <c r="J121" s="175">
        <v>44</v>
      </c>
      <c r="K121" s="121"/>
      <c r="L121" s="122" t="str">
        <f t="shared" si="4"/>
        <v xml:space="preserve"> </v>
      </c>
      <c r="N121" s="107">
        <v>44</v>
      </c>
      <c r="O121" s="121">
        <v>324.22000000000003</v>
      </c>
    </row>
    <row r="122" spans="1:15" x14ac:dyDescent="0.2">
      <c r="A122" s="151"/>
      <c r="B122" s="116" t="s">
        <v>377</v>
      </c>
      <c r="C122" s="64"/>
      <c r="D122" s="64"/>
      <c r="E122" s="64"/>
      <c r="F122" s="64"/>
      <c r="G122" s="64"/>
      <c r="H122" s="111"/>
      <c r="I122" s="112" t="s">
        <v>264</v>
      </c>
      <c r="J122" s="177">
        <f>44*3.4801</f>
        <v>153.12440000000001</v>
      </c>
      <c r="K122" s="121">
        <v>5.79</v>
      </c>
      <c r="L122" s="114">
        <f t="shared" si="4"/>
        <v>886.59027600000002</v>
      </c>
      <c r="N122" s="107"/>
      <c r="O122" s="121"/>
    </row>
    <row r="123" spans="1:15" x14ac:dyDescent="0.2">
      <c r="A123" s="151"/>
      <c r="B123" s="116" t="s">
        <v>378</v>
      </c>
      <c r="C123" s="64"/>
      <c r="D123" s="64"/>
      <c r="E123" s="64"/>
      <c r="F123" s="64"/>
      <c r="G123" s="64"/>
      <c r="H123" s="111"/>
      <c r="I123" s="112" t="s">
        <v>264</v>
      </c>
      <c r="J123" s="177">
        <f>44*15.0134</f>
        <v>660.58960000000002</v>
      </c>
      <c r="K123" s="121">
        <v>3.72</v>
      </c>
      <c r="L123" s="114">
        <f t="shared" si="4"/>
        <v>2457.3933120000002</v>
      </c>
      <c r="N123" s="107"/>
      <c r="O123" s="121"/>
    </row>
    <row r="124" spans="1:15" x14ac:dyDescent="0.2">
      <c r="A124" s="151"/>
      <c r="B124" s="116" t="s">
        <v>379</v>
      </c>
      <c r="C124" s="64"/>
      <c r="D124" s="64"/>
      <c r="E124" s="64"/>
      <c r="F124" s="64"/>
      <c r="G124" s="64"/>
      <c r="H124" s="111"/>
      <c r="I124" s="112" t="s">
        <v>264</v>
      </c>
      <c r="J124" s="177">
        <f>44*2.1983</f>
        <v>96.725200000000001</v>
      </c>
      <c r="K124" s="121">
        <v>2.37</v>
      </c>
      <c r="L124" s="114">
        <f t="shared" si="4"/>
        <v>229.23872400000002</v>
      </c>
      <c r="N124" s="107"/>
      <c r="O124" s="121"/>
    </row>
    <row r="125" spans="1:15" x14ac:dyDescent="0.2">
      <c r="A125" s="151"/>
      <c r="B125" s="116" t="s">
        <v>314</v>
      </c>
      <c r="C125" s="64"/>
      <c r="D125" s="64"/>
      <c r="E125" s="64"/>
      <c r="F125" s="64"/>
      <c r="G125" s="64"/>
      <c r="H125" s="111"/>
      <c r="I125" s="112" t="s">
        <v>264</v>
      </c>
      <c r="J125" s="177">
        <f>44*5.8868</f>
        <v>259.01920000000001</v>
      </c>
      <c r="K125" s="121">
        <v>1.06</v>
      </c>
      <c r="L125" s="114">
        <f t="shared" si="4"/>
        <v>274.56035200000002</v>
      </c>
      <c r="N125" s="107"/>
      <c r="O125" s="121"/>
    </row>
    <row r="126" spans="1:15" x14ac:dyDescent="0.2">
      <c r="A126" s="151"/>
      <c r="B126" s="116"/>
      <c r="C126" s="64"/>
      <c r="D126" s="64"/>
      <c r="E126" s="64"/>
      <c r="F126" s="64"/>
      <c r="G126" s="64"/>
      <c r="H126" s="111"/>
      <c r="I126" s="112"/>
      <c r="J126" s="129"/>
      <c r="K126" s="121"/>
      <c r="L126" s="122"/>
      <c r="N126" s="107"/>
      <c r="O126" s="121"/>
    </row>
    <row r="127" spans="1:15" x14ac:dyDescent="0.2">
      <c r="A127" s="151"/>
      <c r="B127" s="585" t="s">
        <v>315</v>
      </c>
      <c r="C127" s="586"/>
      <c r="D127" s="586"/>
      <c r="E127" s="586"/>
      <c r="F127" s="586"/>
      <c r="G127" s="586"/>
      <c r="H127" s="587"/>
      <c r="I127" s="106"/>
      <c r="J127" s="179"/>
      <c r="K127" s="180"/>
      <c r="L127" s="122"/>
      <c r="N127" s="181"/>
      <c r="O127" s="180"/>
    </row>
    <row r="128" spans="1:15" x14ac:dyDescent="0.2">
      <c r="A128" s="151"/>
      <c r="I128" s="153"/>
      <c r="J128" s="182"/>
      <c r="K128" s="183"/>
      <c r="L128" s="114" t="str">
        <f t="shared" ref="L128:L133" si="5">IF(K128=0," ",IF(K128=" -"," -",J128*K128))</f>
        <v xml:space="preserve"> </v>
      </c>
      <c r="N128" s="184"/>
      <c r="O128" s="183"/>
    </row>
    <row r="129" spans="1:15" x14ac:dyDescent="0.2">
      <c r="A129" s="151"/>
      <c r="B129" s="585" t="s">
        <v>344</v>
      </c>
      <c r="C129" s="586"/>
      <c r="D129" s="586"/>
      <c r="E129" s="586"/>
      <c r="F129" s="586"/>
      <c r="G129" s="586"/>
      <c r="H129" s="587"/>
      <c r="I129" s="153" t="s">
        <v>4</v>
      </c>
      <c r="J129" s="185">
        <v>433</v>
      </c>
      <c r="K129" s="183"/>
      <c r="L129" s="122" t="str">
        <f t="shared" si="5"/>
        <v xml:space="preserve"> </v>
      </c>
      <c r="N129" s="184">
        <v>420</v>
      </c>
      <c r="O129" s="183">
        <v>13.77</v>
      </c>
    </row>
    <row r="130" spans="1:15" x14ac:dyDescent="0.2">
      <c r="A130" s="115"/>
      <c r="B130" s="116" t="s">
        <v>316</v>
      </c>
      <c r="C130" s="171"/>
      <c r="D130" s="171"/>
      <c r="E130" s="171"/>
      <c r="F130" s="171"/>
      <c r="G130" s="171"/>
      <c r="H130" s="111"/>
      <c r="I130" s="112" t="s">
        <v>264</v>
      </c>
      <c r="J130" s="128">
        <f>433*0.6079</f>
        <v>263.22070000000002</v>
      </c>
      <c r="K130" s="121">
        <v>5.79</v>
      </c>
      <c r="L130" s="114">
        <f t="shared" si="5"/>
        <v>1524.047853</v>
      </c>
      <c r="N130" s="184"/>
      <c r="O130" s="186"/>
    </row>
    <row r="131" spans="1:15" x14ac:dyDescent="0.2">
      <c r="A131" s="115"/>
      <c r="B131" s="116" t="s">
        <v>317</v>
      </c>
      <c r="C131" s="171"/>
      <c r="D131" s="171"/>
      <c r="E131" s="171"/>
      <c r="F131" s="171"/>
      <c r="G131" s="171"/>
      <c r="H131" s="111"/>
      <c r="I131" s="112" t="s">
        <v>264</v>
      </c>
      <c r="J131" s="128">
        <f>433*0.241</f>
        <v>104.35299999999999</v>
      </c>
      <c r="K131" s="121">
        <v>4.3600000000000003</v>
      </c>
      <c r="L131" s="114">
        <f t="shared" si="5"/>
        <v>454.97908000000001</v>
      </c>
      <c r="N131" s="184"/>
      <c r="O131" s="186"/>
    </row>
    <row r="132" spans="1:15" x14ac:dyDescent="0.2">
      <c r="A132" s="115"/>
      <c r="B132" s="116" t="s">
        <v>318</v>
      </c>
      <c r="C132" s="171"/>
      <c r="D132" s="171"/>
      <c r="E132" s="171"/>
      <c r="F132" s="171"/>
      <c r="G132" s="171"/>
      <c r="H132" s="111"/>
      <c r="I132" s="112" t="s">
        <v>264</v>
      </c>
      <c r="J132" s="128">
        <f>433*0.5376</f>
        <v>232.7808</v>
      </c>
      <c r="K132" s="121">
        <v>3.72</v>
      </c>
      <c r="L132" s="114">
        <f t="shared" si="5"/>
        <v>865.9445760000001</v>
      </c>
      <c r="N132" s="184"/>
      <c r="O132" s="186"/>
    </row>
    <row r="133" spans="1:15" x14ac:dyDescent="0.2">
      <c r="A133" s="115"/>
      <c r="B133" s="116" t="s">
        <v>319</v>
      </c>
      <c r="C133" s="171"/>
      <c r="D133" s="171"/>
      <c r="E133" s="171"/>
      <c r="F133" s="171"/>
      <c r="G133" s="171"/>
      <c r="H133" s="111"/>
      <c r="I133" s="112" t="s">
        <v>264</v>
      </c>
      <c r="J133" s="128">
        <f>433*0.0374</f>
        <v>16.194200000000002</v>
      </c>
      <c r="K133" s="121">
        <v>36.630000000000003</v>
      </c>
      <c r="L133" s="114">
        <f t="shared" si="5"/>
        <v>593.19354600000008</v>
      </c>
      <c r="N133" s="184"/>
      <c r="O133" s="186"/>
    </row>
    <row r="134" spans="1:15" x14ac:dyDescent="0.2">
      <c r="A134" s="115"/>
      <c r="B134" s="116"/>
      <c r="C134" s="64"/>
      <c r="D134" s="64"/>
      <c r="E134" s="64"/>
      <c r="F134" s="64"/>
      <c r="G134" s="64"/>
      <c r="H134" s="111"/>
      <c r="I134" s="112"/>
      <c r="J134" s="129"/>
      <c r="K134" s="121"/>
      <c r="L134" s="114"/>
      <c r="N134" s="107"/>
      <c r="O134" s="121"/>
    </row>
    <row r="135" spans="1:15" x14ac:dyDescent="0.2">
      <c r="A135" s="151"/>
      <c r="B135" s="585" t="s">
        <v>320</v>
      </c>
      <c r="C135" s="586"/>
      <c r="D135" s="586"/>
      <c r="E135" s="586"/>
      <c r="F135" s="586"/>
      <c r="G135" s="586"/>
      <c r="H135" s="587"/>
      <c r="I135" s="187"/>
      <c r="J135" s="129"/>
      <c r="K135" s="180"/>
      <c r="L135" s="122"/>
      <c r="N135" s="107"/>
      <c r="O135" s="180"/>
    </row>
    <row r="136" spans="1:15" x14ac:dyDescent="0.2">
      <c r="A136" s="115"/>
      <c r="B136" s="116"/>
      <c r="C136" s="64"/>
      <c r="D136" s="64"/>
      <c r="E136" s="64"/>
      <c r="F136" s="64"/>
      <c r="G136" s="64"/>
      <c r="H136" s="111"/>
      <c r="I136" s="112"/>
      <c r="J136" s="129"/>
      <c r="K136" s="121"/>
      <c r="L136" s="114" t="str">
        <f t="shared" ref="L136:L142" si="6">IF(K136=0," ",IF(K136=" -"," -",J136*K136))</f>
        <v xml:space="preserve"> </v>
      </c>
      <c r="N136" s="107"/>
      <c r="O136" s="121"/>
    </row>
    <row r="137" spans="1:15" x14ac:dyDescent="0.2">
      <c r="A137" s="115"/>
      <c r="B137" s="116" t="s">
        <v>321</v>
      </c>
      <c r="C137" s="64"/>
      <c r="D137" s="64"/>
      <c r="E137" s="64"/>
      <c r="F137" s="64"/>
      <c r="G137" s="64"/>
      <c r="H137" s="111"/>
      <c r="I137" s="112"/>
      <c r="J137" s="129"/>
      <c r="K137" s="121"/>
      <c r="L137" s="114" t="str">
        <f t="shared" si="6"/>
        <v xml:space="preserve"> </v>
      </c>
      <c r="N137" s="107"/>
      <c r="O137" s="121"/>
    </row>
    <row r="138" spans="1:15" x14ac:dyDescent="0.2">
      <c r="A138" s="115"/>
      <c r="B138" s="116" t="s">
        <v>322</v>
      </c>
      <c r="C138" s="64"/>
      <c r="D138" s="64"/>
      <c r="E138" s="64"/>
      <c r="F138" s="64"/>
      <c r="G138" s="64"/>
      <c r="H138" s="111"/>
      <c r="I138" s="112"/>
      <c r="J138" s="129"/>
      <c r="K138" s="121"/>
      <c r="L138" s="114" t="str">
        <f t="shared" si="6"/>
        <v xml:space="preserve"> </v>
      </c>
      <c r="N138" s="107"/>
      <c r="O138" s="121"/>
    </row>
    <row r="139" spans="1:15" x14ac:dyDescent="0.2">
      <c r="A139" s="115"/>
      <c r="B139" s="116"/>
      <c r="C139" s="64"/>
      <c r="D139" s="64"/>
      <c r="E139" s="64"/>
      <c r="F139" s="64"/>
      <c r="G139" s="64"/>
      <c r="H139" s="111"/>
      <c r="I139" s="112"/>
      <c r="J139" s="129"/>
      <c r="K139" s="121"/>
      <c r="L139" s="114" t="str">
        <f t="shared" si="6"/>
        <v xml:space="preserve"> </v>
      </c>
      <c r="N139" s="107"/>
      <c r="O139" s="121"/>
    </row>
    <row r="140" spans="1:15" x14ac:dyDescent="0.2">
      <c r="A140" s="151"/>
      <c r="B140" s="116" t="s">
        <v>323</v>
      </c>
      <c r="C140" s="64"/>
      <c r="D140" s="64"/>
      <c r="E140" s="64"/>
      <c r="F140" s="64"/>
      <c r="G140" s="64"/>
      <c r="H140" s="111"/>
      <c r="I140" s="112" t="s">
        <v>255</v>
      </c>
      <c r="J140" s="175">
        <v>574</v>
      </c>
      <c r="K140" s="121"/>
      <c r="L140" s="122" t="str">
        <f t="shared" si="6"/>
        <v xml:space="preserve"> </v>
      </c>
      <c r="N140" s="107">
        <v>557</v>
      </c>
      <c r="O140" s="121">
        <v>121.58</v>
      </c>
    </row>
    <row r="141" spans="1:15" x14ac:dyDescent="0.2">
      <c r="A141" s="151"/>
      <c r="B141" s="116" t="s">
        <v>324</v>
      </c>
      <c r="C141" s="64"/>
      <c r="D141" s="64"/>
      <c r="E141" s="64"/>
      <c r="F141" s="64"/>
      <c r="G141" s="64"/>
      <c r="H141" s="111"/>
      <c r="I141" s="112" t="s">
        <v>264</v>
      </c>
      <c r="J141" s="177">
        <f>574*0.228</f>
        <v>130.87200000000001</v>
      </c>
      <c r="K141" s="121">
        <v>5.79</v>
      </c>
      <c r="L141" s="114">
        <f t="shared" si="6"/>
        <v>757.7488800000001</v>
      </c>
      <c r="N141" s="107"/>
      <c r="O141" s="121"/>
    </row>
    <row r="142" spans="1:15" x14ac:dyDescent="0.2">
      <c r="A142" s="151"/>
      <c r="B142" s="116" t="s">
        <v>325</v>
      </c>
      <c r="C142" s="64"/>
      <c r="D142" s="64"/>
      <c r="E142" s="64"/>
      <c r="F142" s="64"/>
      <c r="G142" s="64"/>
      <c r="H142" s="111"/>
      <c r="I142" s="112" t="s">
        <v>264</v>
      </c>
      <c r="J142" s="177">
        <f>574*0.406</f>
        <v>233.04400000000001</v>
      </c>
      <c r="K142" s="121">
        <v>4.3600000000000003</v>
      </c>
      <c r="L142" s="114">
        <f t="shared" si="6"/>
        <v>1016.0718400000002</v>
      </c>
      <c r="N142" s="107"/>
      <c r="O142" s="121"/>
    </row>
    <row r="143" spans="1:15" ht="13.5" thickBot="1" x14ac:dyDescent="0.25">
      <c r="A143" s="134"/>
      <c r="B143" s="135"/>
      <c r="C143" s="136"/>
      <c r="D143" s="136"/>
      <c r="E143" s="136"/>
      <c r="F143" s="136"/>
      <c r="G143" s="136"/>
      <c r="H143" s="137"/>
      <c r="I143" s="188"/>
      <c r="J143" s="138"/>
      <c r="K143" s="189"/>
      <c r="L143" s="141"/>
      <c r="N143" s="138"/>
      <c r="O143" s="189"/>
    </row>
    <row r="144" spans="1:15" ht="5.25" customHeight="1" thickBot="1" x14ac:dyDescent="0.25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N144" s="142"/>
      <c r="O144" s="142"/>
    </row>
    <row r="145" spans="1:15" x14ac:dyDescent="0.2">
      <c r="A145" s="93" t="s">
        <v>275</v>
      </c>
      <c r="B145" s="87"/>
      <c r="C145" s="87"/>
      <c r="D145" s="87"/>
      <c r="E145" s="144" t="s">
        <v>276</v>
      </c>
      <c r="F145" s="87"/>
      <c r="G145" s="87"/>
      <c r="H145" s="105"/>
      <c r="I145" s="44" t="s">
        <v>277</v>
      </c>
      <c r="J145" s="87"/>
      <c r="K145" s="144" t="s">
        <v>278</v>
      </c>
      <c r="L145" s="146"/>
      <c r="N145" s="87"/>
      <c r="O145" s="144" t="s">
        <v>278</v>
      </c>
    </row>
    <row r="146" spans="1:15" ht="13.5" customHeight="1" thickBot="1" x14ac:dyDescent="0.25">
      <c r="A146" s="583"/>
      <c r="B146" s="573"/>
      <c r="C146" s="573"/>
      <c r="D146" s="573"/>
      <c r="E146" s="584"/>
      <c r="F146" s="573"/>
      <c r="G146" s="573"/>
      <c r="H146" s="574"/>
      <c r="I146" s="147"/>
      <c r="J146" s="147"/>
      <c r="K146" s="135"/>
      <c r="L146" s="149"/>
      <c r="N146" s="147"/>
      <c r="O146" s="135"/>
    </row>
    <row r="147" spans="1:15" x14ac:dyDescent="0.2">
      <c r="A147" s="151"/>
      <c r="B147" s="116"/>
      <c r="C147" s="64"/>
      <c r="D147" s="64"/>
      <c r="E147" s="64"/>
      <c r="F147" s="64"/>
      <c r="G147" s="64"/>
      <c r="H147" s="111"/>
      <c r="I147" s="112"/>
      <c r="J147" s="177"/>
      <c r="K147" s="121"/>
      <c r="L147" s="114"/>
      <c r="N147" s="107"/>
      <c r="O147" s="121"/>
    </row>
    <row r="148" spans="1:15" x14ac:dyDescent="0.2">
      <c r="A148" s="151"/>
      <c r="B148" s="116"/>
      <c r="C148" s="64"/>
      <c r="D148" s="64"/>
      <c r="E148" s="64"/>
      <c r="F148" s="64"/>
      <c r="G148" s="64"/>
      <c r="H148" s="111"/>
      <c r="I148" s="112"/>
      <c r="J148" s="178"/>
      <c r="K148" s="121"/>
      <c r="L148" s="114"/>
      <c r="N148" s="107"/>
      <c r="O148" s="121"/>
    </row>
    <row r="149" spans="1:15" x14ac:dyDescent="0.2">
      <c r="A149" s="151"/>
      <c r="B149" s="116" t="s">
        <v>326</v>
      </c>
      <c r="C149" s="64"/>
      <c r="D149" s="64"/>
      <c r="E149" s="64"/>
      <c r="F149" s="64"/>
      <c r="G149" s="64"/>
      <c r="H149" s="111"/>
      <c r="I149" s="112" t="s">
        <v>255</v>
      </c>
      <c r="J149" s="175">
        <v>329</v>
      </c>
      <c r="K149" s="121"/>
      <c r="L149" s="122" t="str">
        <f>IF(K149=0," ",IF(K149=" -"," -",J149*K149))</f>
        <v xml:space="preserve"> </v>
      </c>
      <c r="N149" s="107">
        <v>319</v>
      </c>
      <c r="O149" s="121">
        <v>147.02000000000001</v>
      </c>
    </row>
    <row r="150" spans="1:15" x14ac:dyDescent="0.2">
      <c r="A150" s="151"/>
      <c r="B150" s="116" t="s">
        <v>327</v>
      </c>
      <c r="C150" s="64"/>
      <c r="D150" s="64"/>
      <c r="E150" s="64"/>
      <c r="F150" s="64"/>
      <c r="G150" s="64"/>
      <c r="H150" s="111"/>
      <c r="I150" s="112" t="s">
        <v>264</v>
      </c>
      <c r="J150" s="177">
        <f>329*0.2453</f>
        <v>80.703699999999998</v>
      </c>
      <c r="K150" s="121">
        <v>5.79</v>
      </c>
      <c r="L150" s="114">
        <f>IF(K150=0," ",IF(K150=" -"," -",J150*K150))</f>
        <v>467.27442300000001</v>
      </c>
      <c r="N150" s="107"/>
      <c r="O150" s="121"/>
    </row>
    <row r="151" spans="1:15" x14ac:dyDescent="0.2">
      <c r="A151" s="151"/>
      <c r="B151" s="116" t="s">
        <v>328</v>
      </c>
      <c r="C151" s="64"/>
      <c r="D151" s="64"/>
      <c r="E151" s="64"/>
      <c r="F151" s="64"/>
      <c r="G151" s="64"/>
      <c r="H151" s="111"/>
      <c r="I151" s="112" t="s">
        <v>264</v>
      </c>
      <c r="J151" s="177">
        <f>329*0.4404</f>
        <v>144.89160000000001</v>
      </c>
      <c r="K151" s="121">
        <v>4.3600000000000003</v>
      </c>
      <c r="L151" s="114">
        <f>IF(K151=0," ",IF(K151=" -"," -",J151*K151))</f>
        <v>631.72737600000005</v>
      </c>
      <c r="N151" s="107"/>
      <c r="O151" s="121"/>
    </row>
    <row r="152" spans="1:15" x14ac:dyDescent="0.2">
      <c r="A152" s="151"/>
      <c r="B152" s="116"/>
      <c r="C152" s="64"/>
      <c r="D152" s="64"/>
      <c r="E152" s="64"/>
      <c r="F152" s="64"/>
      <c r="G152" s="64"/>
      <c r="H152" s="111"/>
      <c r="I152" s="112"/>
      <c r="J152" s="175"/>
      <c r="K152" s="121"/>
      <c r="L152" s="114"/>
      <c r="N152" s="107"/>
      <c r="O152" s="121"/>
    </row>
    <row r="153" spans="1:15" x14ac:dyDescent="0.2">
      <c r="A153" s="190"/>
      <c r="B153" s="104" t="s">
        <v>329</v>
      </c>
      <c r="C153" s="64"/>
      <c r="D153" s="64"/>
      <c r="E153" s="64"/>
      <c r="F153" s="64"/>
      <c r="G153" s="64"/>
      <c r="H153" s="111"/>
      <c r="I153" s="112"/>
      <c r="J153" s="107"/>
      <c r="K153" s="121"/>
      <c r="L153" s="114" t="str">
        <f>IF(K153=0," ",IF(K153=" -"," -",J153*K153))</f>
        <v xml:space="preserve"> </v>
      </c>
      <c r="N153" s="107"/>
      <c r="O153" s="121"/>
    </row>
    <row r="154" spans="1:15" x14ac:dyDescent="0.2">
      <c r="A154" s="190"/>
      <c r="B154" s="104" t="s">
        <v>330</v>
      </c>
      <c r="C154" s="64"/>
      <c r="D154" s="64"/>
      <c r="E154" s="64"/>
      <c r="F154" s="64"/>
      <c r="G154" s="64"/>
      <c r="H154" s="111"/>
      <c r="I154" s="187" t="s">
        <v>255</v>
      </c>
      <c r="J154" s="119">
        <v>10</v>
      </c>
      <c r="K154" s="191"/>
      <c r="L154" s="122" t="str">
        <f>IF(K154=0," ",IF(K154=" -"," -",J154*K154))</f>
        <v xml:space="preserve"> </v>
      </c>
      <c r="N154" s="107">
        <v>10</v>
      </c>
      <c r="O154" s="191">
        <v>138.66</v>
      </c>
    </row>
    <row r="155" spans="1:15" x14ac:dyDescent="0.2">
      <c r="A155" s="192"/>
      <c r="B155" s="104" t="s">
        <v>331</v>
      </c>
      <c r="C155" s="64"/>
      <c r="D155" s="64"/>
      <c r="E155" s="64"/>
      <c r="F155" s="64"/>
      <c r="G155" s="64"/>
      <c r="H155" s="111"/>
      <c r="I155" s="187" t="s">
        <v>264</v>
      </c>
      <c r="J155" s="177">
        <f>10*3.5472</f>
        <v>35.472000000000001</v>
      </c>
      <c r="K155" s="191">
        <v>5.79</v>
      </c>
      <c r="L155" s="114">
        <f>IF(K155=0," ",IF(K155=" -"," -",J155*K155))</f>
        <v>205.38288</v>
      </c>
      <c r="N155" s="107"/>
      <c r="O155" s="191"/>
    </row>
    <row r="156" spans="1:15" x14ac:dyDescent="0.2">
      <c r="A156" s="192"/>
      <c r="B156" s="104" t="s">
        <v>332</v>
      </c>
      <c r="C156" s="64"/>
      <c r="D156" s="64"/>
      <c r="E156" s="64"/>
      <c r="F156" s="64"/>
      <c r="G156" s="64"/>
      <c r="H156" s="111"/>
      <c r="I156" s="187" t="s">
        <v>264</v>
      </c>
      <c r="J156" s="177">
        <f>10*7.0944</f>
        <v>70.944000000000003</v>
      </c>
      <c r="K156" s="191">
        <v>4.3600000000000003</v>
      </c>
      <c r="L156" s="114">
        <f>IF(K156=0," ",IF(K156=" -"," -",J156*K156))</f>
        <v>309.31584000000004</v>
      </c>
      <c r="N156" s="107"/>
      <c r="O156" s="191"/>
    </row>
    <row r="157" spans="1:15" x14ac:dyDescent="0.2">
      <c r="A157" s="192"/>
      <c r="B157" s="104"/>
      <c r="C157" s="64"/>
      <c r="D157" s="64"/>
      <c r="E157" s="64"/>
      <c r="F157" s="64"/>
      <c r="G157" s="64"/>
      <c r="H157" s="111"/>
      <c r="I157" s="112"/>
      <c r="J157" s="177"/>
      <c r="K157" s="121"/>
      <c r="L157" s="114"/>
      <c r="N157" s="107"/>
      <c r="O157" s="121"/>
    </row>
    <row r="158" spans="1:15" x14ac:dyDescent="0.2">
      <c r="A158" s="192"/>
      <c r="B158" s="104"/>
      <c r="C158" s="64"/>
      <c r="D158" s="64"/>
      <c r="E158" s="64"/>
      <c r="F158" s="64"/>
      <c r="G158" s="64"/>
      <c r="H158" s="111"/>
      <c r="I158" s="112"/>
      <c r="J158" s="177"/>
      <c r="K158" s="121"/>
      <c r="L158" s="114"/>
      <c r="N158" s="107"/>
      <c r="O158" s="121"/>
    </row>
    <row r="159" spans="1:15" x14ac:dyDescent="0.2">
      <c r="A159" s="115"/>
      <c r="B159" s="116" t="s">
        <v>333</v>
      </c>
      <c r="C159" s="64"/>
      <c r="D159" s="64"/>
      <c r="E159" s="64"/>
      <c r="F159" s="64"/>
      <c r="G159" s="64"/>
      <c r="H159" s="111"/>
      <c r="I159" s="112"/>
      <c r="J159" s="193"/>
      <c r="K159" s="121"/>
      <c r="L159" s="114" t="str">
        <f>IF(K159=0," ",IF(K159=" -"," -",J159*K159))</f>
        <v xml:space="preserve"> </v>
      </c>
      <c r="N159" s="194"/>
      <c r="O159" s="121"/>
    </row>
    <row r="160" spans="1:15" x14ac:dyDescent="0.2">
      <c r="A160" s="115"/>
      <c r="B160" s="116"/>
      <c r="C160" s="64"/>
      <c r="D160" s="64"/>
      <c r="E160" s="64"/>
      <c r="F160" s="64"/>
      <c r="G160" s="64"/>
      <c r="H160" s="111"/>
      <c r="I160" s="112"/>
      <c r="J160" s="193"/>
      <c r="K160" s="121"/>
      <c r="L160" s="114" t="str">
        <f>IF(K160=0," ",IF(K160=" -"," -",J160*K160))</f>
        <v xml:space="preserve"> </v>
      </c>
      <c r="N160" s="194"/>
      <c r="O160" s="121"/>
    </row>
    <row r="161" spans="1:15" x14ac:dyDescent="0.2">
      <c r="A161" s="115"/>
      <c r="B161" s="116" t="s">
        <v>334</v>
      </c>
      <c r="C161" s="64"/>
      <c r="D161" s="64"/>
      <c r="E161" s="64"/>
      <c r="F161" s="64"/>
      <c r="G161" s="64"/>
      <c r="H161" s="111"/>
      <c r="I161" s="112" t="s">
        <v>335</v>
      </c>
      <c r="J161" s="119">
        <v>33</v>
      </c>
      <c r="K161" s="121"/>
      <c r="L161" s="114" t="str">
        <f>IF(K161=0," ",IF(K161=" -"," -",J161*K161))</f>
        <v xml:space="preserve"> </v>
      </c>
      <c r="N161" s="107">
        <v>33</v>
      </c>
      <c r="O161" s="121">
        <v>190.02</v>
      </c>
    </row>
    <row r="162" spans="1:15" x14ac:dyDescent="0.2">
      <c r="A162" s="115"/>
      <c r="B162" s="116" t="s">
        <v>336</v>
      </c>
      <c r="C162" s="64"/>
      <c r="D162" s="64"/>
      <c r="E162" s="64"/>
      <c r="F162" s="64"/>
      <c r="G162" s="64"/>
      <c r="H162" s="111"/>
      <c r="I162" s="112" t="s">
        <v>264</v>
      </c>
      <c r="J162" s="177">
        <f>33*0.7424</f>
        <v>24.499199999999998</v>
      </c>
      <c r="K162" s="121">
        <v>5.79</v>
      </c>
      <c r="L162" s="114">
        <f>IF(K162=0," ",IF(K162=" -"," -",J162*K162))</f>
        <v>141.850368</v>
      </c>
      <c r="N162" s="107"/>
      <c r="O162" s="121"/>
    </row>
    <row r="163" spans="1:15" x14ac:dyDescent="0.2">
      <c r="A163" s="115"/>
      <c r="B163" s="116" t="s">
        <v>337</v>
      </c>
      <c r="C163" s="64"/>
      <c r="D163" s="64"/>
      <c r="E163" s="64"/>
      <c r="F163" s="64"/>
      <c r="G163" s="64"/>
      <c r="H163" s="111"/>
      <c r="I163" s="112" t="s">
        <v>264</v>
      </c>
      <c r="J163" s="177">
        <f>33*3.71</f>
        <v>122.42999999999999</v>
      </c>
      <c r="K163" s="121">
        <v>3.72</v>
      </c>
      <c r="L163" s="114">
        <f>IF(K163=0," ",IF(K163=" -"," -",J163*K163))</f>
        <v>455.43959999999998</v>
      </c>
      <c r="N163" s="107"/>
      <c r="O163" s="121"/>
    </row>
    <row r="164" spans="1:15" x14ac:dyDescent="0.2">
      <c r="A164" s="115"/>
      <c r="B164" s="116"/>
      <c r="C164" s="64"/>
      <c r="D164" s="64"/>
      <c r="E164" s="64"/>
      <c r="F164" s="64"/>
      <c r="G164" s="64"/>
      <c r="H164" s="111"/>
      <c r="I164" s="112"/>
      <c r="J164" s="177"/>
      <c r="K164" s="121"/>
      <c r="L164" s="114"/>
      <c r="N164" s="107"/>
      <c r="O164" s="121"/>
    </row>
    <row r="165" spans="1:15" x14ac:dyDescent="0.2">
      <c r="A165" s="115"/>
      <c r="B165" s="116"/>
      <c r="C165" s="64"/>
      <c r="D165" s="64"/>
      <c r="E165" s="64"/>
      <c r="F165" s="64"/>
      <c r="G165" s="64"/>
      <c r="H165" s="111"/>
      <c r="I165" s="112"/>
      <c r="J165" s="194"/>
      <c r="K165" s="121"/>
      <c r="L165" s="114"/>
      <c r="N165" s="194"/>
      <c r="O165" s="121"/>
    </row>
    <row r="166" spans="1:15" x14ac:dyDescent="0.2">
      <c r="A166" s="115"/>
      <c r="B166" s="116"/>
      <c r="C166" s="64"/>
      <c r="D166" s="64"/>
      <c r="E166" s="64"/>
      <c r="F166" s="64"/>
      <c r="G166" s="64"/>
      <c r="H166" s="111"/>
      <c r="I166" s="112"/>
      <c r="J166" s="194"/>
      <c r="K166" s="113"/>
      <c r="L166" s="114" t="str">
        <f>IF(K166=0," ",IF(K166=" -"," -",J166*K166))</f>
        <v xml:space="preserve"> </v>
      </c>
      <c r="N166" s="194"/>
      <c r="O166" s="113"/>
    </row>
    <row r="167" spans="1:15" x14ac:dyDescent="0.2">
      <c r="A167" s="115"/>
      <c r="B167" s="588" t="s">
        <v>338</v>
      </c>
      <c r="C167" s="586"/>
      <c r="D167" s="586"/>
      <c r="E167" s="586"/>
      <c r="F167" s="586"/>
      <c r="G167" s="64"/>
      <c r="H167" s="111"/>
      <c r="I167" s="112"/>
      <c r="J167" s="194"/>
      <c r="K167" s="196"/>
      <c r="L167" s="197">
        <f>SUM(L7:L166)</f>
        <v>131565.54164350004</v>
      </c>
      <c r="N167" s="194"/>
      <c r="O167" s="196"/>
    </row>
    <row r="168" spans="1:15" x14ac:dyDescent="0.2">
      <c r="A168" s="115"/>
      <c r="B168" s="195"/>
      <c r="C168" s="171"/>
      <c r="D168" s="171"/>
      <c r="E168" s="171"/>
      <c r="F168" s="171"/>
      <c r="G168" s="64"/>
      <c r="H168" s="111"/>
      <c r="I168" s="112"/>
      <c r="J168" s="194"/>
      <c r="K168" s="196"/>
      <c r="L168" s="197"/>
      <c r="N168" s="194"/>
      <c r="O168" s="196"/>
    </row>
    <row r="169" spans="1:15" x14ac:dyDescent="0.2">
      <c r="A169" s="115"/>
      <c r="B169" s="195"/>
      <c r="C169" s="171"/>
      <c r="D169" s="171"/>
      <c r="E169" s="171"/>
      <c r="F169" s="171"/>
      <c r="G169" s="64"/>
      <c r="H169" s="111"/>
      <c r="I169" s="112"/>
      <c r="J169" s="194"/>
      <c r="K169" s="196"/>
      <c r="L169" s="197"/>
      <c r="N169" s="194"/>
      <c r="O169" s="196"/>
    </row>
    <row r="170" spans="1:15" x14ac:dyDescent="0.2">
      <c r="A170" s="115"/>
      <c r="B170" s="195"/>
      <c r="C170" s="171"/>
      <c r="D170" s="171"/>
      <c r="E170" s="171"/>
      <c r="F170" s="171"/>
      <c r="G170" s="64"/>
      <c r="H170" s="111"/>
      <c r="I170" s="112"/>
      <c r="J170" s="194"/>
      <c r="K170" s="196"/>
      <c r="L170" s="197"/>
      <c r="N170" s="194"/>
      <c r="O170" s="196"/>
    </row>
    <row r="171" spans="1:15" x14ac:dyDescent="0.2">
      <c r="A171" s="115"/>
      <c r="B171" s="195"/>
      <c r="C171" s="171"/>
      <c r="D171" s="171"/>
      <c r="E171" s="171"/>
      <c r="F171" s="171"/>
      <c r="G171" s="64"/>
      <c r="H171" s="111"/>
      <c r="I171" s="112"/>
      <c r="J171" s="194"/>
      <c r="K171" s="196"/>
      <c r="L171" s="197"/>
      <c r="N171" s="194"/>
      <c r="O171" s="196"/>
    </row>
    <row r="172" spans="1:15" x14ac:dyDescent="0.2">
      <c r="A172" s="115"/>
      <c r="B172" s="195"/>
      <c r="C172" s="171"/>
      <c r="D172" s="171"/>
      <c r="E172" s="171"/>
      <c r="F172" s="171"/>
      <c r="G172" s="64"/>
      <c r="H172" s="111"/>
      <c r="I172" s="112"/>
      <c r="J172" s="194"/>
      <c r="K172" s="196"/>
      <c r="L172" s="197"/>
      <c r="N172" s="194"/>
      <c r="O172" s="196"/>
    </row>
    <row r="173" spans="1:15" x14ac:dyDescent="0.2">
      <c r="A173" s="115"/>
      <c r="B173" s="195"/>
      <c r="C173" s="171"/>
      <c r="D173" s="171"/>
      <c r="E173" s="171"/>
      <c r="F173" s="171"/>
      <c r="G173" s="64"/>
      <c r="H173" s="111"/>
      <c r="I173" s="112"/>
      <c r="J173" s="194"/>
      <c r="K173" s="196"/>
      <c r="L173" s="197"/>
      <c r="N173" s="194"/>
      <c r="O173" s="196"/>
    </row>
    <row r="174" spans="1:15" x14ac:dyDescent="0.2">
      <c r="A174" s="115"/>
      <c r="B174" s="195"/>
      <c r="C174" s="171"/>
      <c r="D174" s="171"/>
      <c r="E174" s="171"/>
      <c r="F174" s="171"/>
      <c r="G174" s="64"/>
      <c r="H174" s="111"/>
      <c r="I174" s="112"/>
      <c r="J174" s="194"/>
      <c r="K174" s="196"/>
      <c r="L174" s="197"/>
      <c r="N174" s="194"/>
      <c r="O174" s="196"/>
    </row>
    <row r="175" spans="1:15" x14ac:dyDescent="0.2">
      <c r="A175" s="115"/>
      <c r="B175" s="195"/>
      <c r="C175" s="171"/>
      <c r="D175" s="171"/>
      <c r="E175" s="171"/>
      <c r="F175" s="171"/>
      <c r="G175" s="64"/>
      <c r="H175" s="111"/>
      <c r="I175" s="112"/>
      <c r="J175" s="194"/>
      <c r="K175" s="196"/>
      <c r="L175" s="197"/>
      <c r="N175" s="194"/>
      <c r="O175" s="196"/>
    </row>
    <row r="176" spans="1:15" x14ac:dyDescent="0.2">
      <c r="A176" s="115"/>
      <c r="B176" s="195"/>
      <c r="C176" s="171"/>
      <c r="D176" s="171"/>
      <c r="E176" s="171"/>
      <c r="F176" s="171"/>
      <c r="G176" s="64"/>
      <c r="H176" s="111"/>
      <c r="I176" s="112"/>
      <c r="J176" s="194"/>
      <c r="K176" s="196"/>
      <c r="L176" s="197"/>
      <c r="N176" s="194"/>
      <c r="O176" s="196"/>
    </row>
    <row r="177" spans="1:15" x14ac:dyDescent="0.2">
      <c r="A177" s="115"/>
      <c r="B177" s="116"/>
      <c r="C177" s="64"/>
      <c r="D177" s="64"/>
      <c r="E177" s="64"/>
      <c r="F177" s="64"/>
      <c r="G177" s="64"/>
      <c r="H177" s="111"/>
      <c r="I177" s="112"/>
      <c r="J177" s="194"/>
      <c r="K177" s="196"/>
      <c r="L177" s="198"/>
      <c r="N177" s="194"/>
      <c r="O177" s="196"/>
    </row>
    <row r="178" spans="1:15" ht="13.5" thickBot="1" x14ac:dyDescent="0.25">
      <c r="A178" s="134"/>
      <c r="B178" s="135"/>
      <c r="C178" s="136"/>
      <c r="D178" s="136"/>
      <c r="E178" s="136"/>
      <c r="F178" s="136"/>
      <c r="G178" s="136"/>
      <c r="H178" s="137"/>
      <c r="I178" s="188"/>
      <c r="J178" s="138"/>
      <c r="K178" s="189"/>
      <c r="L178" s="141"/>
      <c r="N178" s="138"/>
      <c r="O178" s="189"/>
    </row>
    <row r="179" spans="1:15" ht="5.25" customHeight="1" thickBot="1" x14ac:dyDescent="0.25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N179" s="142"/>
      <c r="O179" s="142"/>
    </row>
    <row r="180" spans="1:15" x14ac:dyDescent="0.2">
      <c r="A180" s="93" t="s">
        <v>275</v>
      </c>
      <c r="B180" s="87"/>
      <c r="C180" s="87"/>
      <c r="D180" s="87"/>
      <c r="E180" s="144" t="s">
        <v>276</v>
      </c>
      <c r="F180" s="87"/>
      <c r="G180" s="87"/>
      <c r="H180" s="105"/>
      <c r="I180" s="44" t="s">
        <v>277</v>
      </c>
      <c r="J180" s="87"/>
      <c r="K180" s="144" t="s">
        <v>278</v>
      </c>
      <c r="L180" s="146"/>
      <c r="N180" s="87"/>
      <c r="O180" s="144" t="s">
        <v>278</v>
      </c>
    </row>
    <row r="181" spans="1:15" ht="13.5" customHeight="1" thickBot="1" x14ac:dyDescent="0.25">
      <c r="A181" s="583"/>
      <c r="B181" s="573"/>
      <c r="C181" s="573"/>
      <c r="D181" s="573"/>
      <c r="E181" s="584"/>
      <c r="F181" s="573"/>
      <c r="G181" s="573"/>
      <c r="H181" s="574"/>
      <c r="I181" s="147"/>
      <c r="J181" s="147"/>
      <c r="K181" s="135"/>
      <c r="L181" s="149"/>
      <c r="N181" s="147"/>
      <c r="O181" s="135"/>
    </row>
  </sheetData>
  <mergeCells count="21">
    <mergeCell ref="B69:H69"/>
    <mergeCell ref="E76:H76"/>
    <mergeCell ref="E111:H111"/>
    <mergeCell ref="B43:H43"/>
    <mergeCell ref="A111:D111"/>
    <mergeCell ref="B65:H65"/>
    <mergeCell ref="A76:D76"/>
    <mergeCell ref="G2:J2"/>
    <mergeCell ref="G4:K4"/>
    <mergeCell ref="B6:H6"/>
    <mergeCell ref="B44:H44"/>
    <mergeCell ref="A41:D41"/>
    <mergeCell ref="E41:H41"/>
    <mergeCell ref="A181:D181"/>
    <mergeCell ref="E181:H181"/>
    <mergeCell ref="B127:H127"/>
    <mergeCell ref="B129:H129"/>
    <mergeCell ref="B135:H135"/>
    <mergeCell ref="B167:F167"/>
    <mergeCell ref="E146:H146"/>
    <mergeCell ref="A146:D146"/>
  </mergeCells>
  <phoneticPr fontId="0" type="noConversion"/>
  <pageMargins left="0.74" right="0.55118110236220474" top="0.86" bottom="0.39370078740157483" header="0.9" footer="0.51181102362204722"/>
  <pageSetup paperSize="9" orientation="landscape" horizontalDpi="4294967294" verticalDpi="300" r:id="rId1"/>
  <headerFooter alignWithMargins="0">
    <oddHeader>&amp;R
&amp;P     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opLeftCell="A22" workbookViewId="0">
      <selection activeCell="O37" sqref="O37"/>
    </sheetView>
  </sheetViews>
  <sheetFormatPr defaultRowHeight="12.75" x14ac:dyDescent="0.2"/>
  <cols>
    <col min="10" max="10" width="14.42578125" customWidth="1"/>
    <col min="11" max="11" width="17.140625" customWidth="1"/>
    <col min="12" max="12" width="19.140625" customWidth="1"/>
    <col min="14" max="14" width="14.42578125" hidden="1" customWidth="1"/>
    <col min="15" max="15" width="17.140625" hidden="1" customWidth="1"/>
  </cols>
  <sheetData>
    <row r="1" spans="1:15" x14ac:dyDescent="0.2">
      <c r="G1" s="88" t="s">
        <v>244</v>
      </c>
      <c r="H1" s="89"/>
      <c r="I1" s="89"/>
      <c r="J1" s="89"/>
      <c r="K1" s="89"/>
      <c r="L1" s="90" t="s">
        <v>245</v>
      </c>
      <c r="N1" s="89"/>
      <c r="O1" s="89"/>
    </row>
    <row r="2" spans="1:15" ht="15" x14ac:dyDescent="0.25">
      <c r="G2" s="589" t="s">
        <v>246</v>
      </c>
      <c r="H2" s="590"/>
      <c r="I2" s="590"/>
      <c r="J2" s="590"/>
      <c r="K2" s="91"/>
      <c r="L2" s="92"/>
      <c r="O2" s="91"/>
    </row>
    <row r="3" spans="1:15" x14ac:dyDescent="0.2">
      <c r="G3" s="93" t="s">
        <v>247</v>
      </c>
      <c r="H3" s="87"/>
      <c r="I3" s="87"/>
      <c r="J3" s="87"/>
      <c r="K3" s="87"/>
      <c r="L3" s="94" t="s">
        <v>248</v>
      </c>
      <c r="N3" s="87"/>
      <c r="O3" s="87"/>
    </row>
    <row r="4" spans="1:15" ht="15.75" thickBot="1" x14ac:dyDescent="0.3">
      <c r="G4" s="591" t="s">
        <v>232</v>
      </c>
      <c r="H4" s="592"/>
      <c r="I4" s="592"/>
      <c r="J4" s="592"/>
      <c r="K4" s="593"/>
      <c r="L4" s="95">
        <v>38504</v>
      </c>
    </row>
    <row r="5" spans="1:15" ht="5.25" customHeight="1" thickBot="1" x14ac:dyDescent="0.25"/>
    <row r="6" spans="1:15" x14ac:dyDescent="0.2">
      <c r="A6" s="96" t="s">
        <v>228</v>
      </c>
      <c r="B6" s="579" t="s">
        <v>229</v>
      </c>
      <c r="C6" s="579"/>
      <c r="D6" s="579"/>
      <c r="E6" s="579"/>
      <c r="F6" s="579"/>
      <c r="G6" s="579"/>
      <c r="H6" s="579"/>
      <c r="I6" s="97" t="s">
        <v>230</v>
      </c>
      <c r="J6" s="30" t="s">
        <v>249</v>
      </c>
      <c r="K6" s="97" t="s">
        <v>250</v>
      </c>
      <c r="L6" s="32" t="s">
        <v>251</v>
      </c>
      <c r="N6" s="30" t="s">
        <v>249</v>
      </c>
      <c r="O6" s="97" t="s">
        <v>250</v>
      </c>
    </row>
    <row r="7" spans="1:15" x14ac:dyDescent="0.2">
      <c r="A7" s="98"/>
      <c r="B7" s="99"/>
      <c r="C7" s="87"/>
      <c r="D7" s="87"/>
      <c r="E7" s="87"/>
      <c r="F7" s="87"/>
      <c r="G7" s="87"/>
      <c r="H7" s="87"/>
      <c r="I7" s="100"/>
      <c r="J7" s="101"/>
      <c r="K7" s="100"/>
      <c r="L7" s="102"/>
      <c r="N7" s="101"/>
      <c r="O7" s="100"/>
    </row>
    <row r="8" spans="1:15" ht="12.75" customHeight="1" x14ac:dyDescent="0.2">
      <c r="A8" s="109" t="s">
        <v>339</v>
      </c>
      <c r="B8" s="110" t="s">
        <v>232</v>
      </c>
      <c r="C8" s="64"/>
      <c r="D8" s="64"/>
      <c r="E8" s="64"/>
      <c r="F8" s="64"/>
      <c r="G8" s="64"/>
      <c r="H8" s="111"/>
      <c r="I8" s="112"/>
      <c r="J8" s="107"/>
      <c r="K8" s="113"/>
      <c r="L8" s="114" t="str">
        <f>IF(K8=0," ",IF(K8=" -"," -",J8*K8))</f>
        <v xml:space="preserve"> </v>
      </c>
      <c r="N8" s="107"/>
      <c r="O8" s="113"/>
    </row>
    <row r="9" spans="1:15" x14ac:dyDescent="0.2">
      <c r="A9" s="115"/>
      <c r="B9" s="116"/>
      <c r="C9" s="64"/>
      <c r="D9" s="64"/>
      <c r="E9" s="64"/>
      <c r="F9" s="64"/>
      <c r="G9" s="64"/>
      <c r="H9" s="111"/>
      <c r="I9" s="112"/>
      <c r="J9" s="117"/>
      <c r="K9" s="113"/>
      <c r="L9" s="114" t="str">
        <f>IF(K9=0," ",IF(K9=" -"," -",J9*K9))</f>
        <v xml:space="preserve"> </v>
      </c>
      <c r="N9" s="107"/>
      <c r="O9" s="113"/>
    </row>
    <row r="10" spans="1:15" x14ac:dyDescent="0.2">
      <c r="A10" s="115"/>
      <c r="B10" s="118" t="s">
        <v>253</v>
      </c>
      <c r="C10" s="64"/>
      <c r="D10" s="64"/>
      <c r="E10" s="64"/>
      <c r="F10" s="64"/>
      <c r="G10" s="64"/>
      <c r="H10" s="111"/>
      <c r="I10" s="112"/>
      <c r="J10" s="107"/>
      <c r="K10" s="113"/>
      <c r="L10" s="114" t="str">
        <f>IF(K10=0," ",IF(K10=" -"," -",J10*K10))</f>
        <v xml:space="preserve"> </v>
      </c>
      <c r="N10" s="107"/>
      <c r="O10" s="113"/>
    </row>
    <row r="11" spans="1:15" x14ac:dyDescent="0.2">
      <c r="A11" s="115"/>
      <c r="B11" s="116"/>
      <c r="C11" s="64"/>
      <c r="D11" s="64"/>
      <c r="E11" s="64"/>
      <c r="F11" s="64"/>
      <c r="G11" s="64"/>
      <c r="H11" s="111"/>
      <c r="I11" s="112"/>
      <c r="J11" s="107"/>
      <c r="K11" s="113"/>
      <c r="L11" s="114" t="str">
        <f>IF(K11=0," ",IF(K11=" -"," -",J11*K11))</f>
        <v xml:space="preserve"> </v>
      </c>
      <c r="N11" s="107"/>
      <c r="O11" s="113"/>
    </row>
    <row r="12" spans="1:15" x14ac:dyDescent="0.2">
      <c r="A12" s="115"/>
      <c r="B12" s="116" t="s">
        <v>254</v>
      </c>
      <c r="C12" s="64"/>
      <c r="D12" s="64"/>
      <c r="E12" s="64"/>
      <c r="F12" s="64"/>
      <c r="G12" s="64"/>
      <c r="H12" s="111"/>
      <c r="I12" s="120" t="s">
        <v>255</v>
      </c>
      <c r="J12" s="199">
        <v>886</v>
      </c>
      <c r="K12" s="121"/>
      <c r="L12" s="114" t="str">
        <f>IF(K12=0," ",IF(K12=" -"," -",J12*K12))</f>
        <v xml:space="preserve"> </v>
      </c>
      <c r="N12" s="123">
        <v>886</v>
      </c>
      <c r="O12" s="121">
        <v>1.03</v>
      </c>
    </row>
    <row r="13" spans="1:15" x14ac:dyDescent="0.2">
      <c r="A13" s="115"/>
      <c r="B13" s="116" t="s">
        <v>15</v>
      </c>
      <c r="C13" s="64"/>
      <c r="D13" s="64"/>
      <c r="E13" s="64"/>
      <c r="F13" s="64"/>
      <c r="G13" s="64"/>
      <c r="H13" s="111"/>
      <c r="I13" s="120"/>
      <c r="J13" s="199"/>
      <c r="K13" s="121"/>
      <c r="L13" s="114"/>
      <c r="N13" s="123"/>
      <c r="O13" s="121"/>
    </row>
    <row r="14" spans="1:15" x14ac:dyDescent="0.2">
      <c r="A14" s="115"/>
      <c r="B14" s="116"/>
      <c r="C14" s="64"/>
      <c r="D14" s="64"/>
      <c r="E14" s="64"/>
      <c r="F14" s="64"/>
      <c r="G14" s="64"/>
      <c r="H14" s="111"/>
      <c r="I14" s="112"/>
      <c r="J14" s="107"/>
      <c r="K14" s="121"/>
      <c r="L14" s="114" t="str">
        <f>IF(K14=0," ",IF(K14=" -"," -",J14*K14))</f>
        <v xml:space="preserve"> </v>
      </c>
      <c r="N14" s="107"/>
      <c r="O14" s="121"/>
    </row>
    <row r="15" spans="1:15" x14ac:dyDescent="0.2">
      <c r="A15" s="115"/>
      <c r="B15" s="118" t="s">
        <v>261</v>
      </c>
      <c r="C15" s="64"/>
      <c r="D15" s="64"/>
      <c r="E15" s="64"/>
      <c r="F15" s="64"/>
      <c r="G15" s="64"/>
      <c r="H15" s="111"/>
      <c r="I15" s="112" t="s">
        <v>262</v>
      </c>
      <c r="J15" s="119">
        <v>400</v>
      </c>
      <c r="K15" s="121"/>
      <c r="L15" s="114"/>
      <c r="N15" s="107">
        <v>400</v>
      </c>
      <c r="O15" s="121">
        <v>100.01</v>
      </c>
    </row>
    <row r="16" spans="1:15" x14ac:dyDescent="0.2">
      <c r="A16" s="115"/>
      <c r="B16" s="118" t="s">
        <v>16</v>
      </c>
      <c r="C16" s="64"/>
      <c r="D16" s="64"/>
      <c r="E16" s="64"/>
      <c r="F16" s="64"/>
      <c r="G16" s="64"/>
      <c r="H16" s="111"/>
      <c r="I16" s="112" t="s">
        <v>283</v>
      </c>
      <c r="J16" s="129">
        <f>400*36</f>
        <v>14400</v>
      </c>
      <c r="K16" s="121">
        <v>0.57999999999999996</v>
      </c>
      <c r="L16" s="114">
        <f>IF(K16=0," ",IF(K16=" -"," -",J16*K16))</f>
        <v>8352</v>
      </c>
      <c r="N16" s="107"/>
      <c r="O16" s="121"/>
    </row>
    <row r="17" spans="1:15" x14ac:dyDescent="0.2">
      <c r="A17" s="115"/>
      <c r="B17" s="118" t="s">
        <v>17</v>
      </c>
      <c r="C17" s="64"/>
      <c r="D17" s="64"/>
      <c r="E17" s="64"/>
      <c r="F17" s="64"/>
      <c r="G17" s="64"/>
      <c r="H17" s="111"/>
      <c r="I17" s="112" t="s">
        <v>18</v>
      </c>
      <c r="J17" s="129">
        <f>400*1.42</f>
        <v>568</v>
      </c>
      <c r="K17" s="121">
        <v>15.5</v>
      </c>
      <c r="L17" s="114">
        <f>IF(K17=0," ",IF(K17=" -"," -",J17*K17))</f>
        <v>8804</v>
      </c>
      <c r="N17" s="107"/>
      <c r="O17" s="121"/>
    </row>
    <row r="18" spans="1:15" x14ac:dyDescent="0.2">
      <c r="A18" s="115"/>
      <c r="B18" s="118"/>
      <c r="C18" s="64"/>
      <c r="D18" s="64"/>
      <c r="E18" s="64"/>
      <c r="F18" s="64"/>
      <c r="G18" s="64"/>
      <c r="H18" s="111"/>
      <c r="I18" s="112"/>
      <c r="J18" s="107"/>
      <c r="K18" s="121"/>
      <c r="L18" s="114"/>
      <c r="N18" s="107"/>
      <c r="O18" s="121"/>
    </row>
    <row r="19" spans="1:15" x14ac:dyDescent="0.2">
      <c r="A19" s="115"/>
      <c r="B19" s="118" t="s">
        <v>266</v>
      </c>
      <c r="C19" s="64"/>
      <c r="D19" s="64"/>
      <c r="E19" s="64"/>
      <c r="F19" s="64"/>
      <c r="G19" s="64"/>
      <c r="H19" s="111"/>
      <c r="I19" s="112"/>
      <c r="J19" s="107"/>
      <c r="K19" s="121"/>
      <c r="L19" s="114" t="str">
        <f>IF(K19=0," ",IF(K19=" -"," -",J19*K19))</f>
        <v xml:space="preserve"> </v>
      </c>
      <c r="N19" s="107"/>
      <c r="O19" s="121"/>
    </row>
    <row r="20" spans="1:15" x14ac:dyDescent="0.2">
      <c r="A20" s="115"/>
      <c r="B20" s="118" t="s">
        <v>19</v>
      </c>
      <c r="C20" s="64"/>
      <c r="D20" s="64"/>
      <c r="E20" s="64"/>
      <c r="F20" s="64"/>
      <c r="G20" s="64"/>
      <c r="H20" s="111"/>
      <c r="I20" s="112"/>
      <c r="J20" s="107"/>
      <c r="K20" s="121"/>
      <c r="L20" s="114"/>
      <c r="N20" s="107"/>
      <c r="O20" s="121"/>
    </row>
    <row r="21" spans="1:15" x14ac:dyDescent="0.2">
      <c r="A21" s="115"/>
      <c r="B21" s="118" t="s">
        <v>20</v>
      </c>
      <c r="C21" s="64"/>
      <c r="D21" s="64"/>
      <c r="E21" s="64"/>
      <c r="F21" s="64"/>
      <c r="G21" s="64"/>
      <c r="H21" s="111"/>
      <c r="I21" s="112"/>
      <c r="J21" s="107"/>
      <c r="K21" s="121"/>
      <c r="L21" s="114"/>
      <c r="N21" s="107"/>
      <c r="O21" s="121"/>
    </row>
    <row r="22" spans="1:15" x14ac:dyDescent="0.2">
      <c r="A22" s="115"/>
      <c r="B22" s="116"/>
      <c r="C22" s="64"/>
      <c r="D22" s="64"/>
      <c r="E22" s="64"/>
      <c r="F22" s="64"/>
      <c r="G22" s="64"/>
      <c r="H22" s="111"/>
      <c r="I22" s="112"/>
      <c r="J22" s="107"/>
      <c r="K22" s="121"/>
      <c r="L22" s="114" t="str">
        <f t="shared" ref="L22:L31" si="0">IF(K22=0," ",IF(K22=" -"," -",J22*K22))</f>
        <v xml:space="preserve"> </v>
      </c>
      <c r="N22" s="107"/>
      <c r="O22" s="121"/>
    </row>
    <row r="23" spans="1:15" x14ac:dyDescent="0.2">
      <c r="A23" s="115"/>
      <c r="B23" s="116" t="s">
        <v>267</v>
      </c>
      <c r="C23" s="64"/>
      <c r="D23" s="64"/>
      <c r="E23" s="64"/>
      <c r="F23" s="64"/>
      <c r="G23" s="64"/>
      <c r="H23" s="111"/>
      <c r="I23" s="112"/>
      <c r="J23" s="107"/>
      <c r="K23" s="121"/>
      <c r="L23" s="114" t="str">
        <f t="shared" si="0"/>
        <v xml:space="preserve"> </v>
      </c>
      <c r="N23" s="107"/>
      <c r="O23" s="121"/>
    </row>
    <row r="24" spans="1:15" x14ac:dyDescent="0.2">
      <c r="A24" s="115"/>
      <c r="B24" s="116" t="s">
        <v>268</v>
      </c>
      <c r="C24" s="64"/>
      <c r="D24" s="64"/>
      <c r="E24" s="64"/>
      <c r="F24" s="64"/>
      <c r="G24" s="64"/>
      <c r="H24" s="111"/>
      <c r="I24" s="112" t="s">
        <v>262</v>
      </c>
      <c r="J24" s="119">
        <v>250</v>
      </c>
      <c r="K24" s="121"/>
      <c r="L24" s="114" t="str">
        <f t="shared" si="0"/>
        <v xml:space="preserve"> </v>
      </c>
      <c r="N24" s="107">
        <v>16</v>
      </c>
      <c r="O24" s="121">
        <v>14.47</v>
      </c>
    </row>
    <row r="25" spans="1:15" x14ac:dyDescent="0.2">
      <c r="A25" s="115"/>
      <c r="B25" s="116"/>
      <c r="C25" s="64"/>
      <c r="D25" s="64"/>
      <c r="E25" s="64"/>
      <c r="F25" s="64"/>
      <c r="G25" s="64"/>
      <c r="H25" s="111"/>
      <c r="I25" s="112"/>
      <c r="J25" s="119"/>
      <c r="K25" s="121"/>
      <c r="L25" s="114" t="str">
        <f t="shared" si="0"/>
        <v xml:space="preserve"> </v>
      </c>
      <c r="N25" s="107"/>
      <c r="O25" s="121"/>
    </row>
    <row r="26" spans="1:15" x14ac:dyDescent="0.2">
      <c r="A26" s="115"/>
      <c r="B26" s="116" t="s">
        <v>270</v>
      </c>
      <c r="C26" s="64"/>
      <c r="D26" s="64"/>
      <c r="E26" s="64"/>
      <c r="F26" s="64"/>
      <c r="G26" s="64"/>
      <c r="H26" s="111"/>
      <c r="I26" s="112"/>
      <c r="J26" s="119"/>
      <c r="K26" s="121"/>
      <c r="L26" s="114" t="str">
        <f t="shared" si="0"/>
        <v xml:space="preserve"> </v>
      </c>
      <c r="N26" s="107"/>
      <c r="O26" s="121"/>
    </row>
    <row r="27" spans="1:15" x14ac:dyDescent="0.2">
      <c r="A27" s="115"/>
      <c r="B27" s="116" t="s">
        <v>271</v>
      </c>
      <c r="C27" s="64"/>
      <c r="D27" s="64"/>
      <c r="E27" s="64"/>
      <c r="F27" s="64"/>
      <c r="G27" s="64"/>
      <c r="H27" s="111"/>
      <c r="I27" s="112" t="s">
        <v>262</v>
      </c>
      <c r="J27" s="119">
        <v>370</v>
      </c>
      <c r="K27" s="121"/>
      <c r="L27" s="114" t="str">
        <f t="shared" si="0"/>
        <v xml:space="preserve"> </v>
      </c>
      <c r="N27" s="107">
        <v>771</v>
      </c>
      <c r="O27" s="121">
        <v>18.059999999999999</v>
      </c>
    </row>
    <row r="28" spans="1:15" x14ac:dyDescent="0.2">
      <c r="A28" s="115"/>
      <c r="B28" s="116" t="s">
        <v>273</v>
      </c>
      <c r="C28" s="64"/>
      <c r="D28" s="64"/>
      <c r="E28" s="64"/>
      <c r="F28" s="64"/>
      <c r="G28" s="64"/>
      <c r="H28" s="111"/>
      <c r="I28" s="112" t="s">
        <v>262</v>
      </c>
      <c r="J28" s="119">
        <v>16</v>
      </c>
      <c r="K28" s="121"/>
      <c r="L28" s="114" t="str">
        <f t="shared" si="0"/>
        <v xml:space="preserve"> </v>
      </c>
      <c r="N28" s="107">
        <v>11</v>
      </c>
      <c r="O28" s="121">
        <v>22.5</v>
      </c>
    </row>
    <row r="29" spans="1:15" x14ac:dyDescent="0.2">
      <c r="A29" s="115"/>
      <c r="B29" s="116"/>
      <c r="C29" s="64"/>
      <c r="D29" s="64"/>
      <c r="E29" s="64"/>
      <c r="F29" s="64"/>
      <c r="G29" s="64"/>
      <c r="H29" s="111"/>
      <c r="I29" s="112"/>
      <c r="J29" s="119"/>
      <c r="K29" s="150"/>
      <c r="L29" s="114" t="str">
        <f t="shared" si="0"/>
        <v xml:space="preserve"> </v>
      </c>
      <c r="N29" s="107"/>
      <c r="O29" s="150"/>
    </row>
    <row r="30" spans="1:15" x14ac:dyDescent="0.2">
      <c r="A30" s="151"/>
      <c r="B30" s="585" t="s">
        <v>279</v>
      </c>
      <c r="C30" s="585"/>
      <c r="D30" s="585"/>
      <c r="E30" s="585"/>
      <c r="F30" s="585"/>
      <c r="G30" s="585"/>
      <c r="H30" s="594"/>
      <c r="I30" s="153"/>
      <c r="J30" s="200"/>
      <c r="K30" s="155"/>
      <c r="L30" s="114" t="str">
        <f t="shared" si="0"/>
        <v xml:space="preserve"> </v>
      </c>
      <c r="N30" s="154"/>
      <c r="O30" s="155"/>
    </row>
    <row r="31" spans="1:15" x14ac:dyDescent="0.2">
      <c r="A31" s="151"/>
      <c r="B31" t="s">
        <v>280</v>
      </c>
      <c r="I31" s="153" t="s">
        <v>262</v>
      </c>
      <c r="J31" s="201">
        <v>346</v>
      </c>
      <c r="K31" s="155"/>
      <c r="L31" s="114" t="str">
        <f t="shared" si="0"/>
        <v xml:space="preserve"> </v>
      </c>
      <c r="N31" s="157">
        <v>510</v>
      </c>
      <c r="O31" s="155">
        <v>6.2</v>
      </c>
    </row>
    <row r="32" spans="1:15" x14ac:dyDescent="0.2">
      <c r="A32" s="115"/>
      <c r="B32" s="116"/>
      <c r="C32" s="64"/>
      <c r="D32" s="64"/>
      <c r="E32" s="64"/>
      <c r="F32" s="64"/>
      <c r="G32" s="64"/>
      <c r="H32" s="111"/>
      <c r="I32" s="112"/>
      <c r="J32" s="119"/>
      <c r="K32" s="150"/>
      <c r="L32" s="114"/>
      <c r="N32" s="107"/>
      <c r="O32" s="150"/>
    </row>
    <row r="33" spans="1:15" x14ac:dyDescent="0.2">
      <c r="A33" s="151"/>
      <c r="B33" s="159" t="s">
        <v>381</v>
      </c>
      <c r="C33" s="64"/>
      <c r="D33" s="64"/>
      <c r="I33" s="106"/>
      <c r="J33" s="202"/>
      <c r="K33" s="161"/>
      <c r="L33" s="114" t="str">
        <f t="shared" ref="L33:L38" si="1">IF(K33=0," ",IF(K33=" -"," -",J33*K33))</f>
        <v xml:space="preserve"> </v>
      </c>
      <c r="N33" s="106"/>
      <c r="O33" s="161"/>
    </row>
    <row r="34" spans="1:15" x14ac:dyDescent="0.2">
      <c r="A34" s="151"/>
      <c r="B34" s="159" t="s">
        <v>382</v>
      </c>
      <c r="C34" s="64"/>
      <c r="D34" s="64"/>
      <c r="E34" s="64"/>
      <c r="F34" s="64"/>
      <c r="G34" s="64"/>
      <c r="H34" s="64"/>
      <c r="I34" s="153" t="s">
        <v>262</v>
      </c>
      <c r="J34" s="203">
        <v>385</v>
      </c>
      <c r="K34" s="166"/>
      <c r="L34" s="114" t="str">
        <f t="shared" si="1"/>
        <v xml:space="preserve"> </v>
      </c>
      <c r="N34" s="167">
        <v>9600</v>
      </c>
      <c r="O34" s="166">
        <v>1.51</v>
      </c>
    </row>
    <row r="35" spans="1:15" x14ac:dyDescent="0.2">
      <c r="A35" s="151"/>
      <c r="B35" s="159" t="s">
        <v>111</v>
      </c>
      <c r="C35" s="64"/>
      <c r="D35" s="64"/>
      <c r="E35" s="64"/>
      <c r="F35" s="64"/>
      <c r="G35" s="64"/>
      <c r="H35" s="64"/>
      <c r="I35" s="153" t="s">
        <v>262</v>
      </c>
      <c r="J35" s="203">
        <v>500</v>
      </c>
      <c r="K35" s="166"/>
      <c r="L35" s="114" t="str">
        <f t="shared" si="1"/>
        <v xml:space="preserve"> </v>
      </c>
      <c r="N35" s="167">
        <v>1017</v>
      </c>
      <c r="O35" s="166">
        <v>0.52</v>
      </c>
    </row>
    <row r="36" spans="1:15" x14ac:dyDescent="0.2">
      <c r="A36" s="151"/>
      <c r="B36" s="159" t="s">
        <v>114</v>
      </c>
      <c r="C36" s="64"/>
      <c r="D36" s="64"/>
      <c r="E36" s="64"/>
      <c r="F36" s="64"/>
      <c r="G36" s="64"/>
      <c r="H36" s="64"/>
      <c r="I36" s="153" t="s">
        <v>262</v>
      </c>
      <c r="J36" s="203">
        <v>500</v>
      </c>
      <c r="K36" s="166"/>
      <c r="L36" s="114" t="str">
        <f t="shared" si="1"/>
        <v xml:space="preserve"> </v>
      </c>
      <c r="N36" s="167">
        <v>1017</v>
      </c>
      <c r="O36" s="166">
        <v>0.72</v>
      </c>
    </row>
    <row r="37" spans="1:15" x14ac:dyDescent="0.2">
      <c r="A37" s="151"/>
      <c r="B37" s="585" t="s">
        <v>116</v>
      </c>
      <c r="C37" s="586"/>
      <c r="D37" s="586"/>
      <c r="E37" s="586"/>
      <c r="F37" s="586"/>
      <c r="G37" s="586"/>
      <c r="H37" s="587"/>
      <c r="I37" s="153" t="s">
        <v>117</v>
      </c>
      <c r="J37" s="203">
        <v>5000</v>
      </c>
      <c r="K37" s="166"/>
      <c r="L37" s="114" t="str">
        <f t="shared" si="1"/>
        <v xml:space="preserve"> </v>
      </c>
      <c r="N37" s="167">
        <v>10170</v>
      </c>
      <c r="O37" s="166">
        <v>0.78</v>
      </c>
    </row>
    <row r="38" spans="1:15" ht="13.5" thickBot="1" x14ac:dyDescent="0.25">
      <c r="A38" s="151"/>
      <c r="B38" s="585" t="s">
        <v>119</v>
      </c>
      <c r="C38" s="586"/>
      <c r="D38" s="586"/>
      <c r="E38" s="586"/>
      <c r="F38" s="586"/>
      <c r="G38" s="586"/>
      <c r="H38" s="587"/>
      <c r="I38" s="153" t="s">
        <v>262</v>
      </c>
      <c r="J38" s="203">
        <v>500</v>
      </c>
      <c r="K38" s="155"/>
      <c r="L38" s="114" t="str">
        <f t="shared" si="1"/>
        <v xml:space="preserve"> </v>
      </c>
      <c r="N38" s="167">
        <v>1017</v>
      </c>
      <c r="O38" s="155">
        <v>0.65</v>
      </c>
    </row>
    <row r="39" spans="1:15" ht="5.25" customHeight="1" thickBot="1" x14ac:dyDescent="0.25">
      <c r="A39" s="142"/>
      <c r="B39" s="142"/>
      <c r="C39" s="142"/>
      <c r="D39" s="142"/>
      <c r="E39" s="142"/>
      <c r="F39" s="142"/>
      <c r="G39" s="142"/>
      <c r="H39" s="142"/>
      <c r="I39" s="142"/>
      <c r="J39" s="143"/>
      <c r="K39" s="142"/>
      <c r="L39" s="142"/>
      <c r="N39" s="143"/>
      <c r="O39" s="142"/>
    </row>
    <row r="40" spans="1:15" x14ac:dyDescent="0.2">
      <c r="A40" s="93" t="s">
        <v>275</v>
      </c>
      <c r="B40" s="87"/>
      <c r="C40" s="87"/>
      <c r="D40" s="87"/>
      <c r="E40" s="144" t="s">
        <v>276</v>
      </c>
      <c r="F40" s="87"/>
      <c r="G40" s="87"/>
      <c r="H40" s="105"/>
      <c r="I40" s="44" t="s">
        <v>277</v>
      </c>
      <c r="J40" s="145"/>
      <c r="K40" s="144" t="s">
        <v>278</v>
      </c>
      <c r="L40" s="146"/>
      <c r="N40" s="145"/>
      <c r="O40" s="144" t="s">
        <v>278</v>
      </c>
    </row>
    <row r="41" spans="1:15" ht="13.5" customHeight="1" thickBot="1" x14ac:dyDescent="0.25">
      <c r="A41" s="583"/>
      <c r="B41" s="573"/>
      <c r="C41" s="573"/>
      <c r="D41" s="573"/>
      <c r="E41" s="584"/>
      <c r="F41" s="573"/>
      <c r="G41" s="573"/>
      <c r="H41" s="574"/>
      <c r="I41" s="147"/>
      <c r="J41" s="148"/>
      <c r="K41" s="135"/>
      <c r="L41" s="149"/>
      <c r="N41" s="148"/>
      <c r="O41" s="135"/>
    </row>
    <row r="42" spans="1:15" x14ac:dyDescent="0.2">
      <c r="A42" s="115"/>
      <c r="B42" s="116"/>
      <c r="C42" s="64"/>
      <c r="D42" s="64"/>
      <c r="E42" s="64"/>
      <c r="F42" s="64"/>
      <c r="G42" s="64"/>
      <c r="H42" s="111"/>
      <c r="I42" s="112"/>
      <c r="J42" s="107"/>
      <c r="K42" s="150"/>
      <c r="L42" s="114"/>
      <c r="N42" s="107"/>
      <c r="O42" s="150"/>
    </row>
    <row r="43" spans="1:15" x14ac:dyDescent="0.2">
      <c r="A43" s="115"/>
      <c r="B43" s="116"/>
      <c r="C43" s="64"/>
      <c r="D43" s="64"/>
      <c r="E43" s="64"/>
      <c r="F43" s="64"/>
      <c r="G43" s="64"/>
      <c r="H43" s="111"/>
      <c r="I43" s="112"/>
      <c r="J43" s="107"/>
      <c r="K43" s="150"/>
      <c r="L43" s="114"/>
      <c r="N43" s="107"/>
      <c r="O43" s="150"/>
    </row>
    <row r="44" spans="1:15" x14ac:dyDescent="0.2">
      <c r="A44" s="115"/>
      <c r="B44" s="116" t="s">
        <v>121</v>
      </c>
      <c r="C44" s="64"/>
      <c r="D44" s="64"/>
      <c r="E44" s="64"/>
      <c r="F44" s="64"/>
      <c r="G44" s="64"/>
      <c r="H44" s="111"/>
      <c r="I44" s="112"/>
      <c r="J44" s="107"/>
      <c r="K44" s="150"/>
      <c r="L44" s="114" t="str">
        <f>IF(K44=0," ",IF(K44=" -"," -",J44*K44))</f>
        <v xml:space="preserve"> </v>
      </c>
      <c r="N44" s="107"/>
      <c r="O44" s="150"/>
    </row>
    <row r="45" spans="1:15" x14ac:dyDescent="0.2">
      <c r="A45" s="115"/>
      <c r="B45" s="116"/>
      <c r="C45" s="64"/>
      <c r="D45" s="64"/>
      <c r="E45" s="64"/>
      <c r="F45" s="64"/>
      <c r="G45" s="64"/>
      <c r="H45" s="111"/>
      <c r="I45" s="112"/>
      <c r="J45" s="107"/>
      <c r="K45" s="150"/>
      <c r="L45" s="114"/>
      <c r="N45" s="107"/>
      <c r="O45" s="150"/>
    </row>
    <row r="46" spans="1:15" x14ac:dyDescent="0.2">
      <c r="A46" s="115"/>
      <c r="B46" s="116"/>
      <c r="C46" s="64"/>
      <c r="D46" s="64"/>
      <c r="E46" s="64"/>
      <c r="F46" s="64"/>
      <c r="G46" s="64"/>
      <c r="H46" s="111"/>
      <c r="I46" s="112"/>
      <c r="J46" s="107"/>
      <c r="K46" s="150"/>
      <c r="L46" s="114" t="str">
        <f t="shared" ref="L46:L52" si="2">IF(K46=0," ",IF(K46=" -"," -",J46*K46))</f>
        <v xml:space="preserve"> </v>
      </c>
      <c r="N46" s="107"/>
      <c r="O46" s="150"/>
    </row>
    <row r="47" spans="1:15" x14ac:dyDescent="0.2">
      <c r="A47" s="115"/>
      <c r="B47" s="116" t="s">
        <v>122</v>
      </c>
      <c r="C47" s="64"/>
      <c r="D47" s="64"/>
      <c r="E47" s="64"/>
      <c r="F47" s="64"/>
      <c r="G47" s="64"/>
      <c r="H47" s="111"/>
      <c r="I47" s="112"/>
      <c r="J47" s="107"/>
      <c r="K47" s="121"/>
      <c r="L47" s="114" t="str">
        <f t="shared" si="2"/>
        <v xml:space="preserve"> </v>
      </c>
      <c r="N47" s="107"/>
      <c r="O47" s="121"/>
    </row>
    <row r="48" spans="1:15" x14ac:dyDescent="0.2">
      <c r="A48" s="115"/>
      <c r="B48" s="116" t="s">
        <v>123</v>
      </c>
      <c r="C48" s="64"/>
      <c r="D48" s="64"/>
      <c r="E48" s="64"/>
      <c r="F48" s="64"/>
      <c r="G48" s="64"/>
      <c r="H48" s="111"/>
      <c r="I48" s="112" t="s">
        <v>255</v>
      </c>
      <c r="J48" s="175">
        <v>344.83</v>
      </c>
      <c r="K48" s="121"/>
      <c r="L48" s="114" t="str">
        <f t="shared" si="2"/>
        <v xml:space="preserve"> </v>
      </c>
      <c r="N48" s="107">
        <v>345</v>
      </c>
      <c r="O48" s="121">
        <v>51.8</v>
      </c>
    </row>
    <row r="49" spans="1:15" x14ac:dyDescent="0.2">
      <c r="A49" s="115"/>
      <c r="B49" s="116" t="s">
        <v>287</v>
      </c>
      <c r="C49" s="64"/>
      <c r="D49" s="64"/>
      <c r="E49" s="64"/>
      <c r="F49" s="64"/>
      <c r="G49" s="64"/>
      <c r="H49" s="111"/>
      <c r="I49" s="112" t="s">
        <v>18</v>
      </c>
      <c r="J49" s="177">
        <f>344.83*1.1524</f>
        <v>397.382092</v>
      </c>
      <c r="K49" s="121">
        <v>15.5</v>
      </c>
      <c r="L49" s="114">
        <f t="shared" si="2"/>
        <v>6159.4224260000001</v>
      </c>
      <c r="N49" s="107"/>
      <c r="O49" s="121"/>
    </row>
    <row r="50" spans="1:15" x14ac:dyDescent="0.2">
      <c r="A50" s="115"/>
      <c r="B50" s="116" t="s">
        <v>288</v>
      </c>
      <c r="C50" s="64"/>
      <c r="D50" s="64"/>
      <c r="E50" s="64"/>
      <c r="F50" s="64"/>
      <c r="G50" s="64"/>
      <c r="H50" s="111"/>
      <c r="I50" s="112" t="s">
        <v>262</v>
      </c>
      <c r="J50" s="177">
        <f>344.83*0.2103</f>
        <v>72.517748999999995</v>
      </c>
      <c r="K50" s="121">
        <v>34.1</v>
      </c>
      <c r="L50" s="114">
        <f t="shared" si="2"/>
        <v>2472.8552408999999</v>
      </c>
      <c r="N50" s="107"/>
      <c r="O50" s="121"/>
    </row>
    <row r="51" spans="1:15" x14ac:dyDescent="0.2">
      <c r="A51" s="115"/>
      <c r="B51" s="116" t="s">
        <v>21</v>
      </c>
      <c r="C51" s="64"/>
      <c r="D51" s="64"/>
      <c r="E51" s="64"/>
      <c r="F51" s="64"/>
      <c r="G51" s="64"/>
      <c r="H51" s="111"/>
      <c r="I51" s="112" t="s">
        <v>262</v>
      </c>
      <c r="J51" s="177">
        <f>344.83*0.1642</f>
        <v>56.621085999999998</v>
      </c>
      <c r="K51" s="121">
        <v>31.32</v>
      </c>
      <c r="L51" s="114">
        <f t="shared" si="2"/>
        <v>1773.37241352</v>
      </c>
      <c r="N51" s="107"/>
      <c r="O51" s="121"/>
    </row>
    <row r="52" spans="1:15" x14ac:dyDescent="0.2">
      <c r="A52" s="115"/>
      <c r="B52" s="116" t="s">
        <v>22</v>
      </c>
      <c r="C52" s="64"/>
      <c r="D52" s="64"/>
      <c r="E52" s="64"/>
      <c r="F52" s="64"/>
      <c r="G52" s="64"/>
      <c r="H52" s="111"/>
      <c r="I52" s="112" t="s">
        <v>262</v>
      </c>
      <c r="J52" s="177">
        <f>344.83*0.1642</f>
        <v>56.621085999999998</v>
      </c>
      <c r="K52" s="121">
        <v>31.32</v>
      </c>
      <c r="L52" s="114">
        <f t="shared" si="2"/>
        <v>1773.37241352</v>
      </c>
      <c r="N52" s="107"/>
      <c r="O52" s="121"/>
    </row>
    <row r="53" spans="1:15" x14ac:dyDescent="0.2">
      <c r="A53" s="115"/>
      <c r="B53" s="116"/>
      <c r="C53" s="64"/>
      <c r="D53" s="64"/>
      <c r="E53" s="64"/>
      <c r="F53" s="64"/>
      <c r="G53" s="64"/>
      <c r="H53" s="111"/>
      <c r="I53" s="112"/>
      <c r="J53" s="177"/>
      <c r="K53" s="121"/>
      <c r="L53" s="114"/>
      <c r="N53" s="107"/>
      <c r="O53" s="121"/>
    </row>
    <row r="54" spans="1:15" x14ac:dyDescent="0.2">
      <c r="A54" s="115"/>
      <c r="B54" s="116"/>
      <c r="C54" s="64"/>
      <c r="D54" s="64"/>
      <c r="E54" s="64"/>
      <c r="F54" s="64"/>
      <c r="G54" s="64"/>
      <c r="H54" s="111"/>
      <c r="I54" s="112"/>
      <c r="J54" s="107"/>
      <c r="K54" s="121"/>
      <c r="L54" s="114"/>
      <c r="N54" s="107"/>
      <c r="O54" s="121"/>
    </row>
    <row r="55" spans="1:15" x14ac:dyDescent="0.2">
      <c r="A55" s="115"/>
      <c r="B55" s="116" t="s">
        <v>2</v>
      </c>
      <c r="C55" s="64"/>
      <c r="D55" s="64"/>
      <c r="E55" s="64"/>
      <c r="F55" s="64"/>
      <c r="G55" s="64"/>
      <c r="H55" s="111"/>
      <c r="I55" s="112"/>
      <c r="J55" s="107"/>
      <c r="K55" s="121"/>
      <c r="L55" s="114"/>
      <c r="N55" s="107"/>
      <c r="O55" s="121"/>
    </row>
    <row r="56" spans="1:15" x14ac:dyDescent="0.2">
      <c r="A56" s="115"/>
      <c r="B56" s="116"/>
      <c r="C56" s="64"/>
      <c r="D56" s="64"/>
      <c r="E56" s="64"/>
      <c r="F56" s="64"/>
      <c r="G56" s="64"/>
      <c r="H56" s="111"/>
      <c r="I56" s="112"/>
      <c r="J56" s="107"/>
      <c r="K56" s="121"/>
      <c r="L56" s="114"/>
      <c r="N56" s="107"/>
      <c r="O56" s="121"/>
    </row>
    <row r="57" spans="1:15" x14ac:dyDescent="0.2">
      <c r="A57" s="115"/>
      <c r="B57" s="116"/>
      <c r="C57" s="64"/>
      <c r="D57" s="64"/>
      <c r="E57" s="64"/>
      <c r="F57" s="64"/>
      <c r="G57" s="64"/>
      <c r="H57" s="111"/>
      <c r="I57" s="112"/>
      <c r="J57" s="107"/>
      <c r="K57" s="121"/>
      <c r="L57" s="114"/>
      <c r="N57" s="107"/>
      <c r="O57" s="121"/>
    </row>
    <row r="58" spans="1:15" x14ac:dyDescent="0.2">
      <c r="A58" s="115"/>
      <c r="B58" s="116" t="s">
        <v>3</v>
      </c>
      <c r="C58" s="64"/>
      <c r="D58" s="64"/>
      <c r="E58" s="64"/>
      <c r="F58" s="64"/>
      <c r="G58" s="64"/>
      <c r="H58" s="111"/>
      <c r="I58" s="112" t="s">
        <v>4</v>
      </c>
      <c r="J58" s="175">
        <v>1009.5</v>
      </c>
      <c r="K58" s="121"/>
      <c r="L58" s="114" t="str">
        <f t="shared" ref="L58:L63" si="3">IF(K58=0," ",IF(K58=" -"," -",J58*K58))</f>
        <v xml:space="preserve"> </v>
      </c>
      <c r="N58" s="107">
        <v>1002</v>
      </c>
      <c r="O58" s="121">
        <v>21.07</v>
      </c>
    </row>
    <row r="59" spans="1:15" x14ac:dyDescent="0.2">
      <c r="A59" s="115"/>
      <c r="B59" s="116" t="s">
        <v>23</v>
      </c>
      <c r="C59" s="64"/>
      <c r="D59" s="64"/>
      <c r="E59" s="64"/>
      <c r="F59" s="64"/>
      <c r="G59" s="64"/>
      <c r="H59" s="111"/>
      <c r="I59" s="112" t="s">
        <v>367</v>
      </c>
      <c r="J59" s="128">
        <f>1009.5*0.1918</f>
        <v>193.62209999999999</v>
      </c>
      <c r="K59" s="121">
        <v>3.91</v>
      </c>
      <c r="L59" s="114">
        <f t="shared" si="3"/>
        <v>757.062411</v>
      </c>
      <c r="N59" s="107"/>
      <c r="O59" s="121"/>
    </row>
    <row r="60" spans="1:15" x14ac:dyDescent="0.2">
      <c r="A60" s="115"/>
      <c r="B60" s="116" t="s">
        <v>24</v>
      </c>
      <c r="C60" s="64"/>
      <c r="D60" s="64"/>
      <c r="E60" s="64"/>
      <c r="F60" s="64"/>
      <c r="G60" s="64"/>
      <c r="H60" s="111"/>
      <c r="I60" s="112" t="s">
        <v>4</v>
      </c>
      <c r="J60" s="128">
        <f>1009.5*0.4884</f>
        <v>493.03980000000001</v>
      </c>
      <c r="K60" s="121">
        <v>9.07</v>
      </c>
      <c r="L60" s="114">
        <f t="shared" si="3"/>
        <v>4471.8709859999999</v>
      </c>
      <c r="N60" s="107"/>
      <c r="O60" s="121"/>
    </row>
    <row r="61" spans="1:15" x14ac:dyDescent="0.2">
      <c r="A61" s="115"/>
      <c r="B61" s="116" t="s">
        <v>25</v>
      </c>
      <c r="C61" s="64"/>
      <c r="D61" s="64"/>
      <c r="E61" s="64"/>
      <c r="F61" s="64"/>
      <c r="G61" s="64"/>
      <c r="H61" s="111"/>
      <c r="I61" s="112" t="s">
        <v>255</v>
      </c>
      <c r="J61" s="128">
        <f>1009.5*0.4211</f>
        <v>425.10044999999997</v>
      </c>
      <c r="K61" s="121">
        <v>0.95</v>
      </c>
      <c r="L61" s="114">
        <f t="shared" si="3"/>
        <v>403.84542749999997</v>
      </c>
      <c r="N61" s="107"/>
      <c r="O61" s="121"/>
    </row>
    <row r="62" spans="1:15" x14ac:dyDescent="0.2">
      <c r="A62" s="115"/>
      <c r="B62" s="116" t="s">
        <v>26</v>
      </c>
      <c r="C62" s="64"/>
      <c r="D62" s="64"/>
      <c r="E62" s="64"/>
      <c r="F62" s="64"/>
      <c r="G62" s="64"/>
      <c r="H62" s="111"/>
      <c r="I62" s="112" t="s">
        <v>255</v>
      </c>
      <c r="J62" s="128">
        <f>1009.5*0.3108</f>
        <v>313.75260000000003</v>
      </c>
      <c r="K62" s="121">
        <v>3.7</v>
      </c>
      <c r="L62" s="114">
        <f t="shared" si="3"/>
        <v>1160.8846200000003</v>
      </c>
      <c r="N62" s="107"/>
      <c r="O62" s="121"/>
    </row>
    <row r="63" spans="1:15" x14ac:dyDescent="0.2">
      <c r="A63" s="115"/>
      <c r="B63" s="116" t="s">
        <v>289</v>
      </c>
      <c r="C63" s="64"/>
      <c r="D63" s="64"/>
      <c r="E63" s="64"/>
      <c r="F63" s="64"/>
      <c r="G63" s="64"/>
      <c r="H63" s="111"/>
      <c r="I63" s="112" t="s">
        <v>290</v>
      </c>
      <c r="J63" s="128">
        <f>1009.5*0.02</f>
        <v>20.190000000000001</v>
      </c>
      <c r="K63" s="121">
        <v>5.99</v>
      </c>
      <c r="L63" s="114">
        <f t="shared" si="3"/>
        <v>120.93810000000001</v>
      </c>
      <c r="N63" s="107"/>
      <c r="O63" s="121"/>
    </row>
    <row r="64" spans="1:15" x14ac:dyDescent="0.2">
      <c r="A64" s="115"/>
      <c r="B64" s="116"/>
      <c r="C64" s="64"/>
      <c r="D64" s="64"/>
      <c r="E64" s="64"/>
      <c r="F64" s="64"/>
      <c r="G64" s="64"/>
      <c r="H64" s="111"/>
      <c r="I64" s="112"/>
      <c r="J64" s="128"/>
      <c r="K64" s="121"/>
      <c r="L64" s="114"/>
      <c r="N64" s="107"/>
      <c r="O64" s="121"/>
    </row>
    <row r="65" spans="1:15" x14ac:dyDescent="0.2">
      <c r="A65" s="115"/>
      <c r="B65" s="116"/>
      <c r="C65" s="64"/>
      <c r="D65" s="64"/>
      <c r="E65" s="64"/>
      <c r="F65" s="64"/>
      <c r="G65" s="64"/>
      <c r="H65" s="111"/>
      <c r="I65" s="112"/>
      <c r="J65" s="129"/>
      <c r="K65" s="121"/>
      <c r="L65" s="114"/>
      <c r="N65" s="107"/>
      <c r="O65" s="121"/>
    </row>
    <row r="66" spans="1:15" x14ac:dyDescent="0.2">
      <c r="A66" s="115"/>
      <c r="B66" s="116" t="s">
        <v>359</v>
      </c>
      <c r="C66" s="64"/>
      <c r="D66" s="64"/>
      <c r="E66" s="64"/>
      <c r="F66" s="64"/>
      <c r="G66" s="64"/>
      <c r="H66" s="111"/>
      <c r="I66" s="112" t="s">
        <v>4</v>
      </c>
      <c r="J66" s="175">
        <v>16.86</v>
      </c>
      <c r="K66" s="121"/>
      <c r="L66" s="114" t="str">
        <f t="shared" ref="L66:L71" si="4">IF(K66=0," ",IF(K66=" -"," -",J66*K66))</f>
        <v xml:space="preserve"> </v>
      </c>
      <c r="N66" s="107">
        <v>17</v>
      </c>
      <c r="O66" s="121">
        <v>34.58</v>
      </c>
    </row>
    <row r="67" spans="1:15" x14ac:dyDescent="0.2">
      <c r="A67" s="115"/>
      <c r="B67" s="116" t="s">
        <v>291</v>
      </c>
      <c r="C67" s="64"/>
      <c r="D67" s="64"/>
      <c r="E67" s="64"/>
      <c r="F67" s="64"/>
      <c r="G67" s="64"/>
      <c r="H67" s="111"/>
      <c r="I67" s="112" t="s">
        <v>367</v>
      </c>
      <c r="J67" s="128">
        <f>16.86*0.2839</f>
        <v>4.7865539999999998</v>
      </c>
      <c r="K67" s="121">
        <v>3.91</v>
      </c>
      <c r="L67" s="114">
        <f t="shared" si="4"/>
        <v>18.715426139999998</v>
      </c>
      <c r="N67" s="107"/>
      <c r="O67" s="121"/>
    </row>
    <row r="68" spans="1:15" x14ac:dyDescent="0.2">
      <c r="A68" s="115"/>
      <c r="B68" s="116" t="s">
        <v>292</v>
      </c>
      <c r="C68" s="64"/>
      <c r="D68" s="64"/>
      <c r="E68" s="64"/>
      <c r="F68" s="64"/>
      <c r="G68" s="64"/>
      <c r="H68" s="111"/>
      <c r="I68" s="112" t="s">
        <v>283</v>
      </c>
      <c r="J68" s="128">
        <f>16.86*0.3769</f>
        <v>6.3545340000000001</v>
      </c>
      <c r="K68" s="121">
        <v>32</v>
      </c>
      <c r="L68" s="114">
        <f t="shared" si="4"/>
        <v>203.345088</v>
      </c>
      <c r="N68" s="107"/>
      <c r="O68" s="121"/>
    </row>
    <row r="69" spans="1:15" x14ac:dyDescent="0.2">
      <c r="A69" s="115"/>
      <c r="B69" s="116" t="s">
        <v>293</v>
      </c>
      <c r="C69" s="64"/>
      <c r="D69" s="64"/>
      <c r="E69" s="64"/>
      <c r="F69" s="64"/>
      <c r="G69" s="64"/>
      <c r="H69" s="111"/>
      <c r="I69" s="112" t="s">
        <v>255</v>
      </c>
      <c r="J69" s="128">
        <f>16.86*1.0842</f>
        <v>18.279612</v>
      </c>
      <c r="K69" s="121">
        <v>0.95</v>
      </c>
      <c r="L69" s="114">
        <f t="shared" si="4"/>
        <v>17.365631399999998</v>
      </c>
      <c r="N69" s="107"/>
      <c r="O69" s="121"/>
    </row>
    <row r="70" spans="1:15" x14ac:dyDescent="0.2">
      <c r="A70" s="115"/>
      <c r="B70" s="116" t="s">
        <v>294</v>
      </c>
      <c r="C70" s="64"/>
      <c r="D70" s="64"/>
      <c r="E70" s="64"/>
      <c r="F70" s="64"/>
      <c r="G70" s="64"/>
      <c r="H70" s="111"/>
      <c r="I70" s="112" t="s">
        <v>255</v>
      </c>
      <c r="J70" s="128">
        <f>16.86*0.3946</f>
        <v>6.6529559999999996</v>
      </c>
      <c r="K70" s="121">
        <v>3.7</v>
      </c>
      <c r="L70" s="114">
        <f t="shared" si="4"/>
        <v>24.615937200000001</v>
      </c>
      <c r="N70" s="107"/>
      <c r="O70" s="121"/>
    </row>
    <row r="71" spans="1:15" x14ac:dyDescent="0.2">
      <c r="A71" s="115"/>
      <c r="B71" s="116" t="s">
        <v>295</v>
      </c>
      <c r="C71" s="64"/>
      <c r="D71" s="64"/>
      <c r="E71" s="64"/>
      <c r="F71" s="64"/>
      <c r="G71" s="64"/>
      <c r="H71" s="111"/>
      <c r="I71" s="112" t="s">
        <v>290</v>
      </c>
      <c r="J71" s="128">
        <f>16.86*0.0267</f>
        <v>0.45016200000000001</v>
      </c>
      <c r="K71" s="121">
        <v>5.99</v>
      </c>
      <c r="L71" s="114">
        <f t="shared" si="4"/>
        <v>2.6964703800000001</v>
      </c>
      <c r="N71" s="107"/>
      <c r="O71" s="121"/>
    </row>
    <row r="72" spans="1:15" x14ac:dyDescent="0.2">
      <c r="A72" s="115"/>
      <c r="B72" s="116"/>
      <c r="C72" s="64"/>
      <c r="D72" s="64"/>
      <c r="E72" s="64"/>
      <c r="F72" s="64"/>
      <c r="G72" s="64"/>
      <c r="H72" s="111"/>
      <c r="I72" s="112"/>
      <c r="J72" s="128"/>
      <c r="K72" s="121"/>
      <c r="L72" s="114"/>
      <c r="N72" s="107"/>
      <c r="O72" s="121"/>
    </row>
    <row r="73" spans="1:15" ht="13.5" thickBot="1" x14ac:dyDescent="0.25">
      <c r="A73" s="134"/>
      <c r="B73" s="135"/>
      <c r="C73" s="136"/>
      <c r="D73" s="136"/>
      <c r="E73" s="136"/>
      <c r="F73" s="136"/>
      <c r="G73" s="136"/>
      <c r="H73" s="137"/>
      <c r="I73" s="138"/>
      <c r="J73" s="139"/>
      <c r="K73" s="140"/>
      <c r="L73" s="141"/>
      <c r="N73" s="139"/>
      <c r="O73" s="140"/>
    </row>
    <row r="74" spans="1:15" ht="5.25" customHeight="1" thickBot="1" x14ac:dyDescent="0.25">
      <c r="A74" s="142"/>
      <c r="B74" s="142"/>
      <c r="C74" s="142"/>
      <c r="D74" s="142"/>
      <c r="E74" s="142"/>
      <c r="F74" s="142"/>
      <c r="G74" s="142"/>
      <c r="H74" s="142"/>
      <c r="I74" s="142"/>
      <c r="J74" s="143"/>
      <c r="K74" s="142"/>
      <c r="L74" s="142"/>
      <c r="N74" s="143"/>
      <c r="O74" s="142"/>
    </row>
    <row r="75" spans="1:15" x14ac:dyDescent="0.2">
      <c r="A75" s="93" t="s">
        <v>275</v>
      </c>
      <c r="B75" s="87"/>
      <c r="C75" s="87"/>
      <c r="D75" s="87"/>
      <c r="E75" s="144" t="s">
        <v>276</v>
      </c>
      <c r="F75" s="87"/>
      <c r="G75" s="87"/>
      <c r="H75" s="105"/>
      <c r="I75" s="44" t="s">
        <v>277</v>
      </c>
      <c r="J75" s="145"/>
      <c r="K75" s="144" t="s">
        <v>278</v>
      </c>
      <c r="L75" s="146"/>
      <c r="N75" s="145"/>
      <c r="O75" s="144" t="s">
        <v>278</v>
      </c>
    </row>
    <row r="76" spans="1:15" ht="13.5" customHeight="1" thickBot="1" x14ac:dyDescent="0.25">
      <c r="A76" s="583"/>
      <c r="B76" s="573"/>
      <c r="C76" s="573"/>
      <c r="D76" s="573"/>
      <c r="E76" s="584"/>
      <c r="F76" s="573"/>
      <c r="G76" s="573"/>
      <c r="H76" s="574"/>
      <c r="I76" s="147"/>
      <c r="J76" s="148"/>
      <c r="K76" s="135"/>
      <c r="L76" s="149"/>
      <c r="N76" s="148"/>
      <c r="O76" s="135"/>
    </row>
    <row r="77" spans="1:15" x14ac:dyDescent="0.2">
      <c r="A77" s="115"/>
      <c r="B77" s="116"/>
      <c r="C77" s="64"/>
      <c r="D77" s="64"/>
      <c r="E77" s="64"/>
      <c r="F77" s="64"/>
      <c r="G77" s="64"/>
      <c r="H77" s="111"/>
      <c r="I77" s="112"/>
      <c r="J77" s="129"/>
      <c r="K77" s="121"/>
      <c r="L77" s="114"/>
      <c r="N77" s="107"/>
      <c r="O77" s="121"/>
    </row>
    <row r="78" spans="1:15" x14ac:dyDescent="0.2">
      <c r="A78" s="115"/>
      <c r="B78" s="116"/>
      <c r="C78" s="64"/>
      <c r="D78" s="64"/>
      <c r="E78" s="64"/>
      <c r="F78" s="64"/>
      <c r="G78" s="64"/>
      <c r="H78" s="111"/>
      <c r="I78" s="112"/>
      <c r="J78" s="129"/>
      <c r="K78" s="121"/>
      <c r="L78" s="114"/>
      <c r="N78" s="107"/>
      <c r="O78" s="121"/>
    </row>
    <row r="79" spans="1:15" x14ac:dyDescent="0.2">
      <c r="A79" s="115"/>
      <c r="B79" s="116" t="s">
        <v>362</v>
      </c>
      <c r="C79" s="64"/>
      <c r="D79" s="64"/>
      <c r="E79" s="64"/>
      <c r="F79" s="64"/>
      <c r="G79" s="64"/>
      <c r="H79" s="111"/>
      <c r="I79" s="112"/>
      <c r="J79" s="129"/>
      <c r="K79" s="121"/>
      <c r="L79" s="114" t="str">
        <f t="shared" ref="L79:L86" si="5">IF(K79=0," ",IF(K79=" -"," -",J79*K79))</f>
        <v xml:space="preserve"> </v>
      </c>
      <c r="N79" s="107"/>
      <c r="O79" s="121"/>
    </row>
    <row r="80" spans="1:15" x14ac:dyDescent="0.2">
      <c r="A80" s="115"/>
      <c r="B80" s="116" t="s">
        <v>363</v>
      </c>
      <c r="C80" s="64"/>
      <c r="D80" s="64"/>
      <c r="E80" s="64"/>
      <c r="F80" s="64"/>
      <c r="G80" s="64"/>
      <c r="H80" s="111"/>
      <c r="I80" s="112" t="s">
        <v>4</v>
      </c>
      <c r="J80" s="175">
        <v>952.81</v>
      </c>
      <c r="K80" s="121"/>
      <c r="L80" s="114" t="str">
        <f t="shared" si="5"/>
        <v xml:space="preserve"> </v>
      </c>
      <c r="N80" s="107">
        <v>477</v>
      </c>
      <c r="O80" s="121">
        <v>39.29</v>
      </c>
    </row>
    <row r="81" spans="1:15" x14ac:dyDescent="0.2">
      <c r="A81" s="115"/>
      <c r="B81" s="116" t="s">
        <v>296</v>
      </c>
      <c r="C81" s="64"/>
      <c r="D81" s="64"/>
      <c r="E81" s="64"/>
      <c r="F81" s="64"/>
      <c r="G81" s="64"/>
      <c r="H81" s="111"/>
      <c r="I81" s="112" t="s">
        <v>367</v>
      </c>
      <c r="J81" s="128">
        <f>952.81*0.3018</f>
        <v>287.55805800000002</v>
      </c>
      <c r="K81" s="121">
        <v>3.91</v>
      </c>
      <c r="L81" s="114">
        <f t="shared" si="5"/>
        <v>1124.35200678</v>
      </c>
      <c r="N81" s="107"/>
      <c r="O81" s="121"/>
    </row>
    <row r="82" spans="1:15" x14ac:dyDescent="0.2">
      <c r="A82" s="115"/>
      <c r="B82" s="116" t="s">
        <v>297</v>
      </c>
      <c r="C82" s="64"/>
      <c r="D82" s="64"/>
      <c r="E82" s="64"/>
      <c r="F82" s="64"/>
      <c r="G82" s="64"/>
      <c r="H82" s="111"/>
      <c r="I82" s="112" t="s">
        <v>4</v>
      </c>
      <c r="J82" s="128">
        <f>952.81*0.1918</f>
        <v>182.74895799999999</v>
      </c>
      <c r="K82" s="121">
        <v>9.07</v>
      </c>
      <c r="L82" s="114">
        <f t="shared" si="5"/>
        <v>1657.5330490599999</v>
      </c>
      <c r="N82" s="107"/>
      <c r="O82" s="121"/>
    </row>
    <row r="83" spans="1:15" x14ac:dyDescent="0.2">
      <c r="A83" s="115"/>
      <c r="B83" s="116" t="s">
        <v>298</v>
      </c>
      <c r="C83" s="64"/>
      <c r="D83" s="64"/>
      <c r="E83" s="64"/>
      <c r="F83" s="64"/>
      <c r="G83" s="64"/>
      <c r="H83" s="111"/>
      <c r="I83" s="112" t="s">
        <v>255</v>
      </c>
      <c r="J83" s="128">
        <f>952.81*0.3579</f>
        <v>341.01069899999999</v>
      </c>
      <c r="K83" s="121">
        <v>0.95</v>
      </c>
      <c r="L83" s="114">
        <f t="shared" si="5"/>
        <v>323.96016404999995</v>
      </c>
      <c r="N83" s="107"/>
      <c r="O83" s="121"/>
    </row>
    <row r="84" spans="1:15" x14ac:dyDescent="0.2">
      <c r="A84" s="115"/>
      <c r="B84" s="116" t="s">
        <v>299</v>
      </c>
      <c r="C84" s="64"/>
      <c r="D84" s="64"/>
      <c r="E84" s="64"/>
      <c r="F84" s="64"/>
      <c r="G84" s="64"/>
      <c r="H84" s="111"/>
      <c r="I84" s="112" t="s">
        <v>255</v>
      </c>
      <c r="J84" s="128">
        <f>952.81*0.4189</f>
        <v>399.13210899999996</v>
      </c>
      <c r="K84" s="121">
        <v>3.7</v>
      </c>
      <c r="L84" s="114">
        <f t="shared" si="5"/>
        <v>1476.7888032999999</v>
      </c>
      <c r="N84" s="107"/>
      <c r="O84" s="121"/>
    </row>
    <row r="85" spans="1:15" x14ac:dyDescent="0.2">
      <c r="A85" s="115"/>
      <c r="B85" s="116" t="s">
        <v>300</v>
      </c>
      <c r="C85" s="64"/>
      <c r="D85" s="64"/>
      <c r="E85" s="64"/>
      <c r="F85" s="64"/>
      <c r="G85" s="64"/>
      <c r="H85" s="111"/>
      <c r="I85" s="112" t="s">
        <v>283</v>
      </c>
      <c r="J85" s="128">
        <f>952.81*0.2065</f>
        <v>196.75526499999998</v>
      </c>
      <c r="K85" s="121">
        <v>13.9</v>
      </c>
      <c r="L85" s="114">
        <f t="shared" si="5"/>
        <v>2734.8981835</v>
      </c>
      <c r="N85" s="107"/>
      <c r="O85" s="121"/>
    </row>
    <row r="86" spans="1:15" x14ac:dyDescent="0.2">
      <c r="A86" s="115"/>
      <c r="B86" s="116" t="s">
        <v>301</v>
      </c>
      <c r="C86" s="64"/>
      <c r="D86" s="64"/>
      <c r="E86" s="64"/>
      <c r="F86" s="64"/>
      <c r="G86" s="64"/>
      <c r="H86" s="111"/>
      <c r="I86" s="112" t="s">
        <v>283</v>
      </c>
      <c r="J86" s="128">
        <f>952.81*0.3953</f>
        <v>376.64579299999997</v>
      </c>
      <c r="K86" s="121">
        <v>32</v>
      </c>
      <c r="L86" s="114">
        <f t="shared" si="5"/>
        <v>12052.665375999999</v>
      </c>
      <c r="N86" s="107"/>
      <c r="O86" s="121"/>
    </row>
    <row r="87" spans="1:15" x14ac:dyDescent="0.2">
      <c r="A87" s="115"/>
      <c r="B87" s="116"/>
      <c r="C87" s="64"/>
      <c r="D87" s="64"/>
      <c r="E87" s="64"/>
      <c r="F87" s="64"/>
      <c r="G87" s="64"/>
      <c r="H87" s="111"/>
      <c r="I87" s="112"/>
      <c r="J87" s="128"/>
      <c r="K87" s="121"/>
      <c r="L87" s="114"/>
      <c r="N87" s="107"/>
      <c r="O87" s="121"/>
    </row>
    <row r="88" spans="1:15" x14ac:dyDescent="0.2">
      <c r="A88" s="151"/>
      <c r="B88" s="116"/>
      <c r="C88" s="64"/>
      <c r="D88" s="64"/>
      <c r="E88" s="64"/>
      <c r="F88" s="64"/>
      <c r="G88" s="64"/>
      <c r="H88" s="111"/>
      <c r="I88" s="112"/>
      <c r="J88" s="129"/>
      <c r="K88" s="121"/>
      <c r="L88" s="114" t="str">
        <f>IF(K88=0," ",IF(K88=" -"," -",J88*K88))</f>
        <v xml:space="preserve"> </v>
      </c>
      <c r="N88" s="107"/>
      <c r="O88" s="121"/>
    </row>
    <row r="89" spans="1:15" x14ac:dyDescent="0.2">
      <c r="A89" s="151"/>
      <c r="B89" s="118" t="s">
        <v>366</v>
      </c>
      <c r="C89" s="64"/>
      <c r="D89" s="64"/>
      <c r="E89" s="64"/>
      <c r="F89" s="64"/>
      <c r="G89" s="64"/>
      <c r="H89" s="111"/>
      <c r="I89" s="112" t="s">
        <v>367</v>
      </c>
      <c r="J89" s="175">
        <v>14188</v>
      </c>
      <c r="K89" s="121"/>
      <c r="L89" s="114" t="str">
        <f>IF(K89=0," ",IF(K89=" -"," -",J89*K89))</f>
        <v xml:space="preserve"> </v>
      </c>
      <c r="N89" s="107">
        <v>11520</v>
      </c>
      <c r="O89" s="121">
        <v>4.3</v>
      </c>
    </row>
    <row r="90" spans="1:15" x14ac:dyDescent="0.2">
      <c r="A90" s="151"/>
      <c r="B90" s="118" t="s">
        <v>302</v>
      </c>
      <c r="C90" s="64"/>
      <c r="D90" s="64"/>
      <c r="E90" s="64"/>
      <c r="F90" s="64"/>
      <c r="G90" s="64"/>
      <c r="H90" s="111"/>
      <c r="I90" s="112" t="s">
        <v>37</v>
      </c>
      <c r="J90" s="177">
        <f>14188*0.00101</f>
        <v>14.329880000000001</v>
      </c>
      <c r="K90" s="121">
        <v>2911.23</v>
      </c>
      <c r="L90" s="114">
        <f>IF(K90=0," ",IF(K90=" -"," -",J90*K90))</f>
        <v>41717.576552400002</v>
      </c>
      <c r="N90" s="107"/>
      <c r="O90" s="121"/>
    </row>
    <row r="91" spans="1:15" x14ac:dyDescent="0.2">
      <c r="A91" s="151"/>
      <c r="B91" s="118"/>
      <c r="C91" s="64"/>
      <c r="D91" s="64"/>
      <c r="E91" s="64"/>
      <c r="F91" s="64"/>
      <c r="G91" s="64"/>
      <c r="H91" s="111"/>
      <c r="I91" s="112"/>
      <c r="J91" s="177"/>
      <c r="K91" s="121"/>
      <c r="L91" s="114"/>
      <c r="N91" s="107"/>
      <c r="O91" s="121"/>
    </row>
    <row r="92" spans="1:15" x14ac:dyDescent="0.2">
      <c r="A92" s="151"/>
      <c r="B92" s="116"/>
      <c r="C92" s="64"/>
      <c r="D92" s="64"/>
      <c r="E92" s="64"/>
      <c r="F92" s="64"/>
      <c r="G92" s="64"/>
      <c r="H92" s="111"/>
      <c r="I92" s="112"/>
      <c r="J92" s="129"/>
      <c r="K92" s="121"/>
      <c r="L92" s="114" t="str">
        <f>IF(K92=0," ",IF(K92=" -"," -",J92*K92))</f>
        <v xml:space="preserve"> </v>
      </c>
      <c r="N92" s="107"/>
      <c r="O92" s="121"/>
    </row>
    <row r="93" spans="1:15" x14ac:dyDescent="0.2">
      <c r="A93" s="151"/>
      <c r="B93" s="116" t="s">
        <v>370</v>
      </c>
      <c r="C93" s="64"/>
      <c r="D93" s="64"/>
      <c r="E93" s="64"/>
      <c r="F93" s="64"/>
      <c r="G93" s="64"/>
      <c r="H93" s="111"/>
      <c r="I93" s="112"/>
      <c r="J93" s="129"/>
      <c r="K93" s="121"/>
      <c r="L93" s="114"/>
      <c r="N93" s="107"/>
      <c r="O93" s="121"/>
    </row>
    <row r="94" spans="1:15" x14ac:dyDescent="0.2">
      <c r="A94" s="151"/>
      <c r="B94" s="116"/>
      <c r="C94" s="64"/>
      <c r="D94" s="64"/>
      <c r="E94" s="64"/>
      <c r="F94" s="64"/>
      <c r="G94" s="64"/>
      <c r="H94" s="111"/>
      <c r="I94" s="112"/>
      <c r="J94" s="129"/>
      <c r="K94" s="121"/>
      <c r="L94" s="114"/>
      <c r="N94" s="107"/>
      <c r="O94" s="121"/>
    </row>
    <row r="95" spans="1:15" x14ac:dyDescent="0.2">
      <c r="A95" s="151"/>
      <c r="B95" s="116" t="s">
        <v>371</v>
      </c>
      <c r="C95" s="64"/>
      <c r="D95" s="64"/>
      <c r="E95" s="64"/>
      <c r="F95" s="64"/>
      <c r="G95" s="64"/>
      <c r="H95" s="111"/>
      <c r="I95" s="112" t="s">
        <v>262</v>
      </c>
      <c r="J95" s="175">
        <v>193</v>
      </c>
      <c r="K95" s="121"/>
      <c r="L95" s="114" t="str">
        <f>IF(K95=0," ",IF(K95=" -"," -",J95*K95))</f>
        <v xml:space="preserve"> </v>
      </c>
      <c r="N95" s="107">
        <v>192</v>
      </c>
      <c r="O95" s="121">
        <v>256.13</v>
      </c>
    </row>
    <row r="96" spans="1:15" x14ac:dyDescent="0.2">
      <c r="A96" s="115"/>
      <c r="B96" s="116" t="s">
        <v>303</v>
      </c>
      <c r="C96" s="64"/>
      <c r="D96" s="64"/>
      <c r="E96" s="64"/>
      <c r="F96" s="64"/>
      <c r="G96" s="64"/>
      <c r="H96" s="111"/>
      <c r="I96" s="112" t="s">
        <v>18</v>
      </c>
      <c r="J96" s="177">
        <f>193*7.5316</f>
        <v>1453.5988</v>
      </c>
      <c r="K96" s="121">
        <v>15.5</v>
      </c>
      <c r="L96" s="114">
        <f>IF(K96=0," ",IF(K96=" -"," -",J96*K96))</f>
        <v>22530.7814</v>
      </c>
      <c r="N96" s="107"/>
      <c r="O96" s="121"/>
    </row>
    <row r="97" spans="1:15" x14ac:dyDescent="0.2">
      <c r="A97" s="115"/>
      <c r="B97" s="116" t="s">
        <v>27</v>
      </c>
      <c r="C97" s="64"/>
      <c r="D97" s="64"/>
      <c r="E97" s="64"/>
      <c r="F97" s="64"/>
      <c r="G97" s="64"/>
      <c r="H97" s="111"/>
      <c r="I97" s="112" t="s">
        <v>262</v>
      </c>
      <c r="J97" s="177">
        <f>193*0.8012</f>
        <v>154.63159999999999</v>
      </c>
      <c r="K97" s="121">
        <v>34.1</v>
      </c>
      <c r="L97" s="114">
        <f>IF(K97=0," ",IF(K97=" -"," -",J97*K97))</f>
        <v>5272.9375600000003</v>
      </c>
      <c r="N97" s="107"/>
      <c r="O97" s="121"/>
    </row>
    <row r="98" spans="1:15" x14ac:dyDescent="0.2">
      <c r="A98" s="115"/>
      <c r="B98" s="116" t="s">
        <v>28</v>
      </c>
      <c r="C98" s="64"/>
      <c r="D98" s="64"/>
      <c r="E98" s="64"/>
      <c r="F98" s="64"/>
      <c r="G98" s="64"/>
      <c r="H98" s="111"/>
      <c r="I98" s="112" t="s">
        <v>262</v>
      </c>
      <c r="J98" s="177">
        <f>193*0.393</f>
        <v>75.849000000000004</v>
      </c>
      <c r="K98" s="121">
        <v>31.32</v>
      </c>
      <c r="L98" s="114">
        <f>IF(K98=0," ",IF(K98=" -"," -",J98*K98))</f>
        <v>2375.5906800000002</v>
      </c>
      <c r="N98" s="107"/>
      <c r="O98" s="121"/>
    </row>
    <row r="99" spans="1:15" x14ac:dyDescent="0.2">
      <c r="A99" s="115"/>
      <c r="B99" s="116" t="s">
        <v>29</v>
      </c>
      <c r="C99" s="64"/>
      <c r="D99" s="64"/>
      <c r="E99" s="64"/>
      <c r="F99" s="64"/>
      <c r="G99" s="64"/>
      <c r="H99" s="111"/>
      <c r="I99" s="112" t="s">
        <v>262</v>
      </c>
      <c r="J99" s="177">
        <f>193*0.393</f>
        <v>75.849000000000004</v>
      </c>
      <c r="K99" s="121">
        <v>31.32</v>
      </c>
      <c r="L99" s="114">
        <f>IF(K99=0," ",IF(K99=" -"," -",J99*K99))</f>
        <v>2375.5906800000002</v>
      </c>
      <c r="N99" s="107"/>
      <c r="O99" s="121"/>
    </row>
    <row r="100" spans="1:15" x14ac:dyDescent="0.2">
      <c r="A100" s="151"/>
      <c r="B100" s="116"/>
      <c r="C100" s="64"/>
      <c r="D100" s="64"/>
      <c r="E100" s="64"/>
      <c r="F100" s="64"/>
      <c r="G100" s="64"/>
      <c r="H100" s="111"/>
      <c r="I100" s="112"/>
      <c r="J100" s="129"/>
      <c r="K100" s="121"/>
      <c r="L100" s="114"/>
      <c r="N100" s="107"/>
      <c r="O100" s="121"/>
    </row>
    <row r="101" spans="1:15" x14ac:dyDescent="0.2">
      <c r="A101" s="151"/>
      <c r="B101" s="116" t="s">
        <v>376</v>
      </c>
      <c r="C101" s="64"/>
      <c r="D101" s="64"/>
      <c r="E101" s="64"/>
      <c r="F101" s="64"/>
      <c r="G101" s="64"/>
      <c r="H101" s="111"/>
      <c r="I101" s="112" t="s">
        <v>262</v>
      </c>
      <c r="J101" s="175">
        <v>44</v>
      </c>
      <c r="K101" s="121"/>
      <c r="L101" s="114" t="str">
        <f>IF(K101=0," ",IF(K101=" -"," -",J101*K101))</f>
        <v xml:space="preserve"> </v>
      </c>
      <c r="N101" s="107">
        <v>44</v>
      </c>
      <c r="O101" s="121">
        <v>324.22000000000003</v>
      </c>
    </row>
    <row r="102" spans="1:15" x14ac:dyDescent="0.2">
      <c r="A102" s="115"/>
      <c r="B102" s="116" t="s">
        <v>30</v>
      </c>
      <c r="C102" s="64"/>
      <c r="D102" s="64"/>
      <c r="E102" s="64"/>
      <c r="F102" s="64"/>
      <c r="G102" s="64"/>
      <c r="H102" s="111"/>
      <c r="I102" s="112" t="s">
        <v>18</v>
      </c>
      <c r="J102" s="177">
        <f>44*11.9245</f>
        <v>524.678</v>
      </c>
      <c r="K102" s="121">
        <v>15.5</v>
      </c>
      <c r="L102" s="114">
        <f>IF(K102=0," ",IF(K102=" -"," -",J102*K102))</f>
        <v>8132.509</v>
      </c>
      <c r="N102" s="107"/>
      <c r="O102" s="121"/>
    </row>
    <row r="103" spans="1:15" x14ac:dyDescent="0.2">
      <c r="A103" s="115"/>
      <c r="B103" s="116" t="s">
        <v>31</v>
      </c>
      <c r="C103" s="64"/>
      <c r="D103" s="64"/>
      <c r="E103" s="64"/>
      <c r="F103" s="64"/>
      <c r="G103" s="64"/>
      <c r="H103" s="111"/>
      <c r="I103" s="112" t="s">
        <v>262</v>
      </c>
      <c r="J103" s="177">
        <f>44*0.8012</f>
        <v>35.252800000000001</v>
      </c>
      <c r="K103" s="121">
        <v>34.1</v>
      </c>
      <c r="L103" s="114">
        <f>IF(K103=0," ",IF(K103=" -"," -",J103*K103))</f>
        <v>1202.12048</v>
      </c>
      <c r="N103" s="107"/>
      <c r="O103" s="121"/>
    </row>
    <row r="104" spans="1:15" x14ac:dyDescent="0.2">
      <c r="A104" s="115"/>
      <c r="B104" s="116" t="s">
        <v>32</v>
      </c>
      <c r="C104" s="64"/>
      <c r="D104" s="64"/>
      <c r="E104" s="64"/>
      <c r="F104" s="64"/>
      <c r="G104" s="64"/>
      <c r="H104" s="111"/>
      <c r="I104" s="112" t="s">
        <v>262</v>
      </c>
      <c r="J104" s="177">
        <f>44*0.393</f>
        <v>17.292000000000002</v>
      </c>
      <c r="K104" s="121">
        <v>31.32</v>
      </c>
      <c r="L104" s="114">
        <f>IF(K104=0," ",IF(K104=" -"," -",J104*K104))</f>
        <v>541.58544000000006</v>
      </c>
      <c r="N104" s="107"/>
      <c r="O104" s="121"/>
    </row>
    <row r="105" spans="1:15" x14ac:dyDescent="0.2">
      <c r="A105" s="115"/>
      <c r="B105" s="116" t="s">
        <v>33</v>
      </c>
      <c r="C105" s="64"/>
      <c r="D105" s="64"/>
      <c r="E105" s="64"/>
      <c r="F105" s="64"/>
      <c r="G105" s="64"/>
      <c r="H105" s="111"/>
      <c r="I105" s="112" t="s">
        <v>262</v>
      </c>
      <c r="J105" s="177">
        <f>44*0.393</f>
        <v>17.292000000000002</v>
      </c>
      <c r="K105" s="121">
        <v>31.32</v>
      </c>
      <c r="L105" s="114">
        <f>IF(K105=0," ",IF(K105=" -"," -",J105*K105))</f>
        <v>541.58544000000006</v>
      </c>
      <c r="N105" s="107"/>
      <c r="O105" s="121"/>
    </row>
    <row r="106" spans="1:15" x14ac:dyDescent="0.2">
      <c r="A106" s="115"/>
      <c r="B106" s="116"/>
      <c r="C106" s="64"/>
      <c r="D106" s="64"/>
      <c r="E106" s="64"/>
      <c r="F106" s="64"/>
      <c r="G106" s="64"/>
      <c r="H106" s="111"/>
      <c r="I106" s="112"/>
      <c r="J106" s="177"/>
      <c r="K106" s="121"/>
      <c r="L106" s="114"/>
      <c r="N106" s="107"/>
      <c r="O106" s="121"/>
    </row>
    <row r="107" spans="1:15" x14ac:dyDescent="0.2">
      <c r="A107" s="115"/>
      <c r="B107" s="116"/>
      <c r="C107" s="64"/>
      <c r="D107" s="64"/>
      <c r="E107" s="64"/>
      <c r="F107" s="64"/>
      <c r="G107" s="64"/>
      <c r="H107" s="111"/>
      <c r="I107" s="112"/>
      <c r="J107" s="177"/>
      <c r="K107" s="121"/>
      <c r="L107" s="114"/>
      <c r="N107" s="107"/>
      <c r="O107" s="121"/>
    </row>
    <row r="108" spans="1:15" ht="13.5" thickBot="1" x14ac:dyDescent="0.25">
      <c r="A108" s="134"/>
      <c r="B108" s="135"/>
      <c r="C108" s="136"/>
      <c r="D108" s="136"/>
      <c r="E108" s="136"/>
      <c r="F108" s="136"/>
      <c r="G108" s="136"/>
      <c r="H108" s="137"/>
      <c r="I108" s="138"/>
      <c r="J108" s="139"/>
      <c r="K108" s="140"/>
      <c r="L108" s="141"/>
      <c r="N108" s="139"/>
      <c r="O108" s="140"/>
    </row>
    <row r="109" spans="1:15" ht="5.25" customHeight="1" thickBot="1" x14ac:dyDescent="0.25">
      <c r="A109" s="142"/>
      <c r="B109" s="142"/>
      <c r="C109" s="142"/>
      <c r="D109" s="142"/>
      <c r="E109" s="142"/>
      <c r="F109" s="142"/>
      <c r="G109" s="142"/>
      <c r="H109" s="142"/>
      <c r="I109" s="142"/>
      <c r="J109" s="143"/>
      <c r="K109" s="142"/>
      <c r="L109" s="142"/>
      <c r="N109" s="143"/>
      <c r="O109" s="142"/>
    </row>
    <row r="110" spans="1:15" x14ac:dyDescent="0.2">
      <c r="A110" s="93" t="s">
        <v>275</v>
      </c>
      <c r="B110" s="87"/>
      <c r="C110" s="87"/>
      <c r="D110" s="87"/>
      <c r="E110" s="144" t="s">
        <v>276</v>
      </c>
      <c r="F110" s="87"/>
      <c r="G110" s="87"/>
      <c r="H110" s="105"/>
      <c r="I110" s="44" t="s">
        <v>277</v>
      </c>
      <c r="J110" s="145"/>
      <c r="K110" s="144" t="s">
        <v>278</v>
      </c>
      <c r="L110" s="146"/>
      <c r="N110" s="145"/>
      <c r="O110" s="144" t="s">
        <v>278</v>
      </c>
    </row>
    <row r="111" spans="1:15" ht="13.5" customHeight="1" thickBot="1" x14ac:dyDescent="0.25">
      <c r="A111" s="583"/>
      <c r="B111" s="573"/>
      <c r="C111" s="573"/>
      <c r="D111" s="573"/>
      <c r="E111" s="584"/>
      <c r="F111" s="573"/>
      <c r="G111" s="573"/>
      <c r="H111" s="574"/>
      <c r="I111" s="147"/>
      <c r="J111" s="148"/>
      <c r="K111" s="135"/>
      <c r="L111" s="149"/>
      <c r="N111" s="148"/>
      <c r="O111" s="135"/>
    </row>
    <row r="112" spans="1:15" x14ac:dyDescent="0.2">
      <c r="A112" s="151"/>
      <c r="B112" s="116"/>
      <c r="C112" s="64"/>
      <c r="D112" s="64"/>
      <c r="E112" s="64"/>
      <c r="F112" s="64"/>
      <c r="G112" s="64"/>
      <c r="H112" s="111"/>
      <c r="I112" s="112"/>
      <c r="J112" s="129"/>
      <c r="K112" s="121"/>
      <c r="L112" s="114"/>
      <c r="N112" s="107"/>
      <c r="O112" s="121"/>
    </row>
    <row r="113" spans="1:15" x14ac:dyDescent="0.2">
      <c r="A113" s="151"/>
      <c r="B113" s="64"/>
      <c r="C113" s="64"/>
      <c r="D113" s="64"/>
      <c r="E113" s="64"/>
      <c r="F113" s="64"/>
      <c r="G113" s="64"/>
      <c r="H113" s="64"/>
      <c r="I113" s="106"/>
      <c r="J113" s="204"/>
      <c r="K113" s="121"/>
      <c r="L113" s="114"/>
      <c r="N113" s="101"/>
      <c r="O113" s="121"/>
    </row>
    <row r="114" spans="1:15" x14ac:dyDescent="0.2">
      <c r="A114" s="151"/>
      <c r="B114" s="585" t="s">
        <v>315</v>
      </c>
      <c r="C114" s="586"/>
      <c r="D114" s="586"/>
      <c r="E114" s="586"/>
      <c r="F114" s="586"/>
      <c r="G114" s="586"/>
      <c r="H114" s="587"/>
      <c r="I114" s="106"/>
      <c r="J114" s="179"/>
      <c r="K114" s="180"/>
      <c r="L114" s="114" t="str">
        <f t="shared" ref="L114:L120" si="6">IF(K114=0," ",IF(K114=" -"," -",J114*K114))</f>
        <v xml:space="preserve"> </v>
      </c>
      <c r="N114" s="181"/>
      <c r="O114" s="180"/>
    </row>
    <row r="115" spans="1:15" x14ac:dyDescent="0.2">
      <c r="A115" s="151"/>
      <c r="I115" s="153"/>
      <c r="J115" s="182"/>
      <c r="K115" s="183"/>
      <c r="L115" s="114" t="str">
        <f t="shared" si="6"/>
        <v xml:space="preserve"> </v>
      </c>
      <c r="N115" s="184"/>
      <c r="O115" s="183"/>
    </row>
    <row r="116" spans="1:15" x14ac:dyDescent="0.2">
      <c r="A116" s="151"/>
      <c r="B116" s="585" t="s">
        <v>344</v>
      </c>
      <c r="C116" s="586"/>
      <c r="D116" s="586"/>
      <c r="E116" s="586"/>
      <c r="F116" s="586"/>
      <c r="G116" s="586"/>
      <c r="H116" s="587"/>
      <c r="I116" s="153" t="s">
        <v>4</v>
      </c>
      <c r="J116" s="185">
        <v>433</v>
      </c>
      <c r="K116" s="183"/>
      <c r="L116" s="114" t="str">
        <f t="shared" si="6"/>
        <v xml:space="preserve"> </v>
      </c>
      <c r="N116" s="184">
        <v>420</v>
      </c>
      <c r="O116" s="183">
        <v>13.77</v>
      </c>
    </row>
    <row r="117" spans="1:15" x14ac:dyDescent="0.2">
      <c r="A117" s="115"/>
      <c r="B117" s="116" t="s">
        <v>34</v>
      </c>
      <c r="C117" s="64"/>
      <c r="D117" s="64"/>
      <c r="E117" s="64"/>
      <c r="F117" s="64"/>
      <c r="G117" s="64"/>
      <c r="H117" s="111"/>
      <c r="I117" s="112" t="s">
        <v>255</v>
      </c>
      <c r="J117" s="128">
        <f>433*0.0357</f>
        <v>15.458100000000002</v>
      </c>
      <c r="K117" s="121">
        <v>1.4</v>
      </c>
      <c r="L117" s="114">
        <f t="shared" si="6"/>
        <v>21.64134</v>
      </c>
      <c r="N117" s="184"/>
      <c r="O117" s="186"/>
    </row>
    <row r="118" spans="1:15" x14ac:dyDescent="0.2">
      <c r="A118" s="115"/>
      <c r="B118" s="116" t="s">
        <v>304</v>
      </c>
      <c r="C118" s="64"/>
      <c r="D118" s="64"/>
      <c r="E118" s="64"/>
      <c r="F118" s="64"/>
      <c r="G118" s="64"/>
      <c r="H118" s="111"/>
      <c r="I118" s="112" t="s">
        <v>4</v>
      </c>
      <c r="J118" s="128">
        <f>433*0.1571</f>
        <v>68.024299999999997</v>
      </c>
      <c r="K118" s="121">
        <v>25.5</v>
      </c>
      <c r="L118" s="114">
        <f t="shared" si="6"/>
        <v>1734.6196499999999</v>
      </c>
      <c r="N118" s="184"/>
      <c r="O118" s="186"/>
    </row>
    <row r="119" spans="1:15" x14ac:dyDescent="0.2">
      <c r="A119" s="115"/>
      <c r="B119" s="116" t="s">
        <v>305</v>
      </c>
      <c r="C119" s="64"/>
      <c r="D119" s="64"/>
      <c r="E119" s="64"/>
      <c r="F119" s="64"/>
      <c r="G119" s="64"/>
      <c r="H119" s="111"/>
      <c r="I119" s="112" t="s">
        <v>255</v>
      </c>
      <c r="J119" s="128">
        <f>433*0.1564</f>
        <v>67.72120000000001</v>
      </c>
      <c r="K119" s="121">
        <v>8.6300000000000008</v>
      </c>
      <c r="L119" s="114">
        <f t="shared" si="6"/>
        <v>584.43395600000019</v>
      </c>
      <c r="N119" s="184"/>
      <c r="O119" s="186"/>
    </row>
    <row r="120" spans="1:15" x14ac:dyDescent="0.2">
      <c r="A120" s="115"/>
      <c r="B120" s="116" t="s">
        <v>306</v>
      </c>
      <c r="C120" s="64"/>
      <c r="D120" s="64"/>
      <c r="E120" s="64"/>
      <c r="F120" s="64"/>
      <c r="G120" s="64"/>
      <c r="H120" s="111"/>
      <c r="I120" s="112" t="s">
        <v>367</v>
      </c>
      <c r="J120" s="128">
        <f>433*0.1074</f>
        <v>46.504199999999997</v>
      </c>
      <c r="K120" s="121">
        <v>3.91</v>
      </c>
      <c r="L120" s="114">
        <f t="shared" si="6"/>
        <v>181.831422</v>
      </c>
      <c r="N120" s="107"/>
      <c r="O120" s="121"/>
    </row>
    <row r="121" spans="1:15" x14ac:dyDescent="0.2">
      <c r="A121" s="115"/>
      <c r="B121" s="116"/>
      <c r="C121" s="64"/>
      <c r="D121" s="64"/>
      <c r="E121" s="64"/>
      <c r="F121" s="64"/>
      <c r="G121" s="64"/>
      <c r="H121" s="111"/>
      <c r="I121" s="112"/>
      <c r="J121" s="128"/>
      <c r="K121" s="121"/>
      <c r="L121" s="114"/>
      <c r="N121" s="107"/>
      <c r="O121" s="121"/>
    </row>
    <row r="122" spans="1:15" x14ac:dyDescent="0.2">
      <c r="A122" s="115"/>
      <c r="B122" s="116"/>
      <c r="C122" s="64"/>
      <c r="D122" s="64"/>
      <c r="E122" s="64"/>
      <c r="F122" s="64"/>
      <c r="G122" s="64"/>
      <c r="H122" s="111"/>
      <c r="I122" s="112"/>
      <c r="J122" s="128"/>
      <c r="K122" s="121"/>
      <c r="L122" s="114"/>
      <c r="N122" s="107"/>
      <c r="O122" s="121"/>
    </row>
    <row r="123" spans="1:15" x14ac:dyDescent="0.2">
      <c r="A123" s="151"/>
      <c r="B123" s="585" t="s">
        <v>320</v>
      </c>
      <c r="C123" s="586"/>
      <c r="D123" s="586"/>
      <c r="E123" s="586"/>
      <c r="F123" s="586"/>
      <c r="G123" s="586"/>
      <c r="H123" s="587"/>
      <c r="I123" s="187"/>
      <c r="J123" s="129"/>
      <c r="K123" s="180"/>
      <c r="L123" s="114" t="str">
        <f>IF(K123=0," ",IF(K123=" -"," -",J123*K123))</f>
        <v xml:space="preserve"> </v>
      </c>
      <c r="N123" s="107"/>
      <c r="O123" s="180"/>
    </row>
    <row r="124" spans="1:15" x14ac:dyDescent="0.2">
      <c r="A124" s="151"/>
      <c r="B124" s="152"/>
      <c r="C124" s="171"/>
      <c r="D124" s="171"/>
      <c r="E124" s="171"/>
      <c r="F124" s="171"/>
      <c r="G124" s="171"/>
      <c r="H124" s="172"/>
      <c r="I124" s="187"/>
      <c r="J124" s="129"/>
      <c r="K124" s="205"/>
      <c r="L124" s="114"/>
      <c r="N124" s="107"/>
      <c r="O124" s="205"/>
    </row>
    <row r="125" spans="1:15" x14ac:dyDescent="0.2">
      <c r="A125" s="115"/>
      <c r="B125" s="116"/>
      <c r="C125" s="64"/>
      <c r="D125" s="64"/>
      <c r="E125" s="64"/>
      <c r="F125" s="64"/>
      <c r="G125" s="64"/>
      <c r="H125" s="111"/>
      <c r="I125" s="112"/>
      <c r="J125" s="129"/>
      <c r="K125" s="121"/>
      <c r="L125" s="114" t="str">
        <f t="shared" ref="L125:L130" si="7">IF(K125=0," ",IF(K125=" -"," -",J125*K125))</f>
        <v xml:space="preserve"> </v>
      </c>
      <c r="N125" s="107"/>
      <c r="O125" s="121"/>
    </row>
    <row r="126" spans="1:15" x14ac:dyDescent="0.2">
      <c r="A126" s="115"/>
      <c r="B126" s="116" t="s">
        <v>321</v>
      </c>
      <c r="C126" s="64"/>
      <c r="D126" s="64"/>
      <c r="E126" s="64"/>
      <c r="F126" s="64"/>
      <c r="G126" s="64"/>
      <c r="H126" s="111"/>
      <c r="I126" s="112"/>
      <c r="J126" s="129"/>
      <c r="K126" s="121"/>
      <c r="L126" s="114" t="str">
        <f t="shared" si="7"/>
        <v xml:space="preserve"> </v>
      </c>
      <c r="N126" s="107"/>
      <c r="O126" s="121"/>
    </row>
    <row r="127" spans="1:15" x14ac:dyDescent="0.2">
      <c r="A127" s="115"/>
      <c r="B127" s="116" t="s">
        <v>322</v>
      </c>
      <c r="C127" s="64"/>
      <c r="D127" s="64"/>
      <c r="E127" s="64"/>
      <c r="F127" s="64"/>
      <c r="G127" s="64"/>
      <c r="H127" s="111"/>
      <c r="I127" s="112"/>
      <c r="J127" s="129"/>
      <c r="K127" s="121"/>
      <c r="L127" s="114" t="str">
        <f t="shared" si="7"/>
        <v xml:space="preserve"> </v>
      </c>
      <c r="N127" s="107"/>
      <c r="O127" s="121"/>
    </row>
    <row r="128" spans="1:15" x14ac:dyDescent="0.2">
      <c r="A128" s="115"/>
      <c r="B128" s="116"/>
      <c r="C128" s="64"/>
      <c r="D128" s="64"/>
      <c r="E128" s="64"/>
      <c r="F128" s="64"/>
      <c r="G128" s="64"/>
      <c r="H128" s="111"/>
      <c r="I128" s="112"/>
      <c r="J128" s="129"/>
      <c r="K128" s="121"/>
      <c r="L128" s="114" t="str">
        <f t="shared" si="7"/>
        <v xml:space="preserve"> </v>
      </c>
      <c r="N128" s="107"/>
      <c r="O128" s="121"/>
    </row>
    <row r="129" spans="1:15" x14ac:dyDescent="0.2">
      <c r="A129" s="151"/>
      <c r="B129" s="116" t="s">
        <v>323</v>
      </c>
      <c r="C129" s="64"/>
      <c r="D129" s="64"/>
      <c r="E129" s="64"/>
      <c r="F129" s="64"/>
      <c r="G129" s="64"/>
      <c r="H129" s="111"/>
      <c r="I129" s="112" t="s">
        <v>255</v>
      </c>
      <c r="J129" s="175">
        <v>574</v>
      </c>
      <c r="K129" s="121"/>
      <c r="L129" s="114" t="str">
        <f t="shared" si="7"/>
        <v xml:space="preserve"> </v>
      </c>
      <c r="N129" s="107">
        <v>557</v>
      </c>
      <c r="O129" s="121">
        <v>121.58</v>
      </c>
    </row>
    <row r="130" spans="1:15" x14ac:dyDescent="0.2">
      <c r="A130" s="151"/>
      <c r="B130" s="116" t="s">
        <v>307</v>
      </c>
      <c r="C130" s="64"/>
      <c r="D130" s="64"/>
      <c r="E130" s="64"/>
      <c r="F130" s="64"/>
      <c r="G130" s="64"/>
      <c r="H130" s="111"/>
      <c r="I130" s="112" t="s">
        <v>255</v>
      </c>
      <c r="J130" s="128">
        <v>574</v>
      </c>
      <c r="K130" s="121">
        <v>118.49</v>
      </c>
      <c r="L130" s="206">
        <f t="shared" si="7"/>
        <v>68013.259999999995</v>
      </c>
      <c r="N130" s="107"/>
      <c r="O130" s="121"/>
    </row>
    <row r="131" spans="1:15" x14ac:dyDescent="0.2">
      <c r="A131" s="151"/>
      <c r="B131" s="116"/>
      <c r="C131" s="64"/>
      <c r="D131" s="64"/>
      <c r="E131" s="64"/>
      <c r="F131" s="64"/>
      <c r="G131" s="64"/>
      <c r="H131" s="111"/>
      <c r="I131" s="112"/>
      <c r="J131" s="128"/>
      <c r="K131" s="121"/>
      <c r="L131" s="206"/>
      <c r="N131" s="107"/>
      <c r="O131" s="121"/>
    </row>
    <row r="132" spans="1:15" x14ac:dyDescent="0.2">
      <c r="A132" s="151"/>
      <c r="B132" s="116"/>
      <c r="C132" s="64"/>
      <c r="D132" s="64"/>
      <c r="E132" s="64"/>
      <c r="F132" s="64"/>
      <c r="G132" s="64"/>
      <c r="H132" s="111"/>
      <c r="I132" s="112"/>
      <c r="J132" s="129"/>
      <c r="K132" s="121"/>
      <c r="L132" s="114"/>
      <c r="N132" s="107"/>
      <c r="O132" s="121"/>
    </row>
    <row r="133" spans="1:15" x14ac:dyDescent="0.2">
      <c r="A133" s="151"/>
      <c r="B133" s="116" t="s">
        <v>326</v>
      </c>
      <c r="C133" s="64"/>
      <c r="D133" s="64"/>
      <c r="E133" s="64"/>
      <c r="F133" s="64"/>
      <c r="G133" s="64"/>
      <c r="H133" s="111"/>
      <c r="I133" s="112" t="s">
        <v>255</v>
      </c>
      <c r="J133" s="175">
        <v>329</v>
      </c>
      <c r="K133" s="121"/>
      <c r="L133" s="114" t="str">
        <f>IF(K133=0," ",IF(K133=" -"," -",J133*K133))</f>
        <v xml:space="preserve"> </v>
      </c>
      <c r="N133" s="107">
        <v>319</v>
      </c>
      <c r="O133" s="121">
        <v>147.02000000000001</v>
      </c>
    </row>
    <row r="134" spans="1:15" x14ac:dyDescent="0.2">
      <c r="A134" s="151"/>
      <c r="B134" s="116" t="s">
        <v>308</v>
      </c>
      <c r="C134" s="64"/>
      <c r="D134" s="64"/>
      <c r="E134" s="64"/>
      <c r="F134" s="64"/>
      <c r="G134" s="64"/>
      <c r="H134" s="111"/>
      <c r="I134" s="112" t="s">
        <v>255</v>
      </c>
      <c r="J134" s="128">
        <v>329</v>
      </c>
      <c r="K134" s="121">
        <v>143.68</v>
      </c>
      <c r="L134" s="114">
        <f>IF(K134=0," ",IF(K134=" -"," -",J134*K134))</f>
        <v>47270.720000000001</v>
      </c>
      <c r="N134" s="107"/>
      <c r="O134" s="121"/>
    </row>
    <row r="135" spans="1:15" x14ac:dyDescent="0.2">
      <c r="A135" s="151"/>
      <c r="B135" s="116"/>
      <c r="C135" s="64"/>
      <c r="D135" s="64"/>
      <c r="E135" s="64"/>
      <c r="F135" s="64"/>
      <c r="G135" s="64"/>
      <c r="H135" s="111"/>
      <c r="I135" s="112"/>
      <c r="J135" s="129"/>
      <c r="K135" s="121"/>
      <c r="L135" s="114"/>
      <c r="N135" s="107"/>
      <c r="O135" s="121"/>
    </row>
    <row r="136" spans="1:15" x14ac:dyDescent="0.2">
      <c r="A136" s="151"/>
      <c r="B136" s="116"/>
      <c r="C136" s="64"/>
      <c r="D136" s="64"/>
      <c r="E136" s="64"/>
      <c r="F136" s="64"/>
      <c r="G136" s="64"/>
      <c r="H136" s="111"/>
      <c r="I136" s="112"/>
      <c r="J136" s="107"/>
      <c r="K136" s="121"/>
      <c r="L136" s="114" t="str">
        <f>IF(K136=0," ",IF(K136=" -"," -",J136*K136))</f>
        <v xml:space="preserve"> </v>
      </c>
      <c r="N136" s="107"/>
      <c r="O136" s="121"/>
    </row>
    <row r="137" spans="1:15" x14ac:dyDescent="0.2">
      <c r="A137" s="190"/>
      <c r="B137" s="104" t="s">
        <v>329</v>
      </c>
      <c r="C137" s="64"/>
      <c r="D137" s="64"/>
      <c r="E137" s="64"/>
      <c r="F137" s="64"/>
      <c r="G137" s="64"/>
      <c r="H137" s="111"/>
      <c r="I137" s="112"/>
      <c r="J137" s="107"/>
      <c r="K137" s="121"/>
      <c r="L137" s="114" t="str">
        <f>IF(K137=0," ",IF(K137=" -"," -",J137*K137))</f>
        <v xml:space="preserve"> </v>
      </c>
      <c r="N137" s="107"/>
      <c r="O137" s="121"/>
    </row>
    <row r="138" spans="1:15" x14ac:dyDescent="0.2">
      <c r="A138" s="190"/>
      <c r="B138" s="104" t="s">
        <v>330</v>
      </c>
      <c r="C138" s="64"/>
      <c r="D138" s="64"/>
      <c r="E138" s="64"/>
      <c r="F138" s="64"/>
      <c r="G138" s="64"/>
      <c r="H138" s="111"/>
      <c r="I138" s="187" t="s">
        <v>255</v>
      </c>
      <c r="J138" s="119">
        <v>10</v>
      </c>
      <c r="K138" s="191"/>
      <c r="L138" s="114" t="str">
        <f>IF(K138=0," ",IF(K138=" -"," -",J138*K138))</f>
        <v xml:space="preserve"> </v>
      </c>
      <c r="N138" s="107">
        <v>10</v>
      </c>
      <c r="O138" s="191">
        <v>138.66</v>
      </c>
    </row>
    <row r="139" spans="1:15" x14ac:dyDescent="0.2">
      <c r="A139" s="192"/>
      <c r="B139" s="104" t="s">
        <v>309</v>
      </c>
      <c r="C139" s="64"/>
      <c r="D139" s="64"/>
      <c r="E139" s="64"/>
      <c r="F139" s="64"/>
      <c r="G139" s="64"/>
      <c r="H139" s="111"/>
      <c r="I139" s="187"/>
      <c r="J139" s="107"/>
      <c r="K139" s="191"/>
      <c r="L139" s="114" t="str">
        <f>IF(K139=0," ",IF(K139=" -"," -",J139*K139))</f>
        <v xml:space="preserve"> </v>
      </c>
      <c r="N139" s="107"/>
      <c r="O139" s="191"/>
    </row>
    <row r="140" spans="1:15" x14ac:dyDescent="0.2">
      <c r="A140" s="192"/>
      <c r="B140" s="104" t="s">
        <v>310</v>
      </c>
      <c r="C140" s="64"/>
      <c r="D140" s="64"/>
      <c r="E140" s="64"/>
      <c r="F140" s="64"/>
      <c r="G140" s="64"/>
      <c r="H140" s="111"/>
      <c r="I140" s="187" t="s">
        <v>255</v>
      </c>
      <c r="J140" s="128">
        <v>10</v>
      </c>
      <c r="K140" s="191">
        <v>87.19</v>
      </c>
      <c r="L140" s="114">
        <f>IF(K140=0," ",IF(K140=" -"," -",J140*K140))</f>
        <v>871.9</v>
      </c>
      <c r="N140" s="107"/>
      <c r="O140" s="191"/>
    </row>
    <row r="141" spans="1:15" x14ac:dyDescent="0.2">
      <c r="A141" s="192"/>
      <c r="B141" s="104"/>
      <c r="C141" s="64"/>
      <c r="D141" s="64"/>
      <c r="E141" s="64"/>
      <c r="F141" s="64"/>
      <c r="G141" s="64"/>
      <c r="H141" s="111"/>
      <c r="I141" s="187"/>
      <c r="J141" s="128"/>
      <c r="K141" s="191"/>
      <c r="L141" s="114"/>
      <c r="N141" s="107"/>
      <c r="O141" s="191"/>
    </row>
    <row r="142" spans="1:15" x14ac:dyDescent="0.2">
      <c r="A142" s="192"/>
      <c r="B142" s="104"/>
      <c r="C142" s="64"/>
      <c r="D142" s="64"/>
      <c r="E142" s="64"/>
      <c r="F142" s="64"/>
      <c r="G142" s="64"/>
      <c r="H142" s="111"/>
      <c r="I142" s="187"/>
      <c r="J142" s="128"/>
      <c r="K142" s="191"/>
      <c r="L142" s="114"/>
      <c r="N142" s="107"/>
      <c r="O142" s="191"/>
    </row>
    <row r="143" spans="1:15" ht="13.5" thickBot="1" x14ac:dyDescent="0.25">
      <c r="A143" s="134"/>
      <c r="B143" s="135"/>
      <c r="C143" s="136"/>
      <c r="D143" s="136"/>
      <c r="E143" s="136"/>
      <c r="F143" s="136"/>
      <c r="G143" s="136"/>
      <c r="H143" s="137"/>
      <c r="I143" s="138"/>
      <c r="J143" s="139"/>
      <c r="K143" s="140"/>
      <c r="L143" s="141"/>
      <c r="N143" s="139"/>
      <c r="O143" s="140"/>
    </row>
    <row r="144" spans="1:15" ht="5.25" customHeight="1" thickBot="1" x14ac:dyDescent="0.25">
      <c r="A144" s="142"/>
      <c r="B144" s="142"/>
      <c r="C144" s="142"/>
      <c r="D144" s="142"/>
      <c r="E144" s="142"/>
      <c r="F144" s="142"/>
      <c r="G144" s="142"/>
      <c r="H144" s="142"/>
      <c r="I144" s="142"/>
      <c r="J144" s="143"/>
      <c r="K144" s="142"/>
      <c r="L144" s="142"/>
      <c r="N144" s="143"/>
      <c r="O144" s="142"/>
    </row>
    <row r="145" spans="1:15" x14ac:dyDescent="0.2">
      <c r="A145" s="93" t="s">
        <v>275</v>
      </c>
      <c r="B145" s="87"/>
      <c r="C145" s="87"/>
      <c r="D145" s="87"/>
      <c r="E145" s="144" t="s">
        <v>276</v>
      </c>
      <c r="F145" s="87"/>
      <c r="G145" s="87"/>
      <c r="H145" s="105"/>
      <c r="I145" s="44" t="s">
        <v>277</v>
      </c>
      <c r="J145" s="145"/>
      <c r="K145" s="144" t="s">
        <v>278</v>
      </c>
      <c r="L145" s="146"/>
      <c r="N145" s="145"/>
      <c r="O145" s="144" t="s">
        <v>278</v>
      </c>
    </row>
    <row r="146" spans="1:15" ht="13.5" customHeight="1" thickBot="1" x14ac:dyDescent="0.25">
      <c r="A146" s="583"/>
      <c r="B146" s="573"/>
      <c r="C146" s="573"/>
      <c r="D146" s="573"/>
      <c r="E146" s="584"/>
      <c r="F146" s="573"/>
      <c r="G146" s="573"/>
      <c r="H146" s="574"/>
      <c r="I146" s="147"/>
      <c r="J146" s="148"/>
      <c r="K146" s="135"/>
      <c r="L146" s="149"/>
      <c r="N146" s="148"/>
      <c r="O146" s="135"/>
    </row>
    <row r="147" spans="1:15" x14ac:dyDescent="0.2">
      <c r="A147" s="192"/>
      <c r="B147" s="104"/>
      <c r="C147" s="64"/>
      <c r="D147" s="64"/>
      <c r="E147" s="64"/>
      <c r="F147" s="64"/>
      <c r="G147" s="64"/>
      <c r="H147" s="111"/>
      <c r="I147" s="187"/>
      <c r="J147" s="128"/>
      <c r="K147" s="191"/>
      <c r="L147" s="114"/>
      <c r="N147" s="107"/>
      <c r="O147" s="191"/>
    </row>
    <row r="148" spans="1:15" x14ac:dyDescent="0.2">
      <c r="A148" s="192"/>
      <c r="B148" s="104"/>
      <c r="C148" s="64"/>
      <c r="D148" s="64"/>
      <c r="E148" s="64"/>
      <c r="F148" s="64"/>
      <c r="G148" s="64"/>
      <c r="H148" s="111"/>
      <c r="I148" s="187"/>
      <c r="J148" s="128"/>
      <c r="K148" s="191"/>
      <c r="L148" s="114"/>
      <c r="N148" s="107"/>
      <c r="O148" s="191"/>
    </row>
    <row r="149" spans="1:15" x14ac:dyDescent="0.2">
      <c r="A149" s="115"/>
      <c r="B149" s="116" t="s">
        <v>333</v>
      </c>
      <c r="C149" s="64"/>
      <c r="D149" s="64"/>
      <c r="E149" s="64"/>
      <c r="F149" s="64"/>
      <c r="G149" s="64"/>
      <c r="H149" s="111"/>
      <c r="I149" s="112"/>
      <c r="J149" s="194"/>
      <c r="K149" s="121"/>
      <c r="L149" s="114" t="str">
        <f t="shared" ref="L149:L154" si="8">IF(K149=0," ",IF(K149=" -"," -",J149*K149))</f>
        <v xml:space="preserve"> </v>
      </c>
      <c r="N149" s="194"/>
      <c r="O149" s="121"/>
    </row>
    <row r="150" spans="1:15" x14ac:dyDescent="0.2">
      <c r="A150" s="115"/>
      <c r="B150" s="116"/>
      <c r="C150" s="64"/>
      <c r="D150" s="64"/>
      <c r="E150" s="64"/>
      <c r="F150" s="64"/>
      <c r="G150" s="64"/>
      <c r="H150" s="111"/>
      <c r="I150" s="112"/>
      <c r="J150" s="194"/>
      <c r="K150" s="121"/>
      <c r="L150" s="114" t="str">
        <f t="shared" si="8"/>
        <v xml:space="preserve"> </v>
      </c>
      <c r="N150" s="194"/>
      <c r="O150" s="121"/>
    </row>
    <row r="151" spans="1:15" x14ac:dyDescent="0.2">
      <c r="A151" s="115"/>
      <c r="B151" s="116" t="s">
        <v>334</v>
      </c>
      <c r="C151" s="64"/>
      <c r="D151" s="64"/>
      <c r="E151" s="64"/>
      <c r="F151" s="64"/>
      <c r="G151" s="64"/>
      <c r="H151" s="111"/>
      <c r="I151" s="112" t="s">
        <v>335</v>
      </c>
      <c r="J151" s="119">
        <v>33</v>
      </c>
      <c r="K151" s="121"/>
      <c r="L151" s="114" t="str">
        <f t="shared" si="8"/>
        <v xml:space="preserve"> </v>
      </c>
      <c r="N151" s="107">
        <v>33</v>
      </c>
      <c r="O151" s="121">
        <v>190.02</v>
      </c>
    </row>
    <row r="152" spans="1:15" x14ac:dyDescent="0.2">
      <c r="A152" s="115"/>
      <c r="B152" s="116" t="s">
        <v>287</v>
      </c>
      <c r="C152" s="64"/>
      <c r="D152" s="64"/>
      <c r="E152" s="64"/>
      <c r="F152" s="64"/>
      <c r="G152" s="64"/>
      <c r="H152" s="111"/>
      <c r="I152" s="112" t="s">
        <v>18</v>
      </c>
      <c r="J152" s="177">
        <f>33*0.0871</f>
        <v>2.8742999999999999</v>
      </c>
      <c r="K152" s="121">
        <v>15.5</v>
      </c>
      <c r="L152" s="114">
        <f t="shared" si="8"/>
        <v>44.551649999999995</v>
      </c>
      <c r="N152" s="107"/>
      <c r="O152" s="121"/>
    </row>
    <row r="153" spans="1:15" x14ac:dyDescent="0.2">
      <c r="A153" s="115"/>
      <c r="B153" s="116" t="s">
        <v>288</v>
      </c>
      <c r="C153" s="64"/>
      <c r="D153" s="64"/>
      <c r="E153" s="64"/>
      <c r="F153" s="64"/>
      <c r="G153" s="64"/>
      <c r="H153" s="111"/>
      <c r="I153" s="112" t="s">
        <v>262</v>
      </c>
      <c r="J153" s="177">
        <f>33*0.0082</f>
        <v>0.27060000000000001</v>
      </c>
      <c r="K153" s="121">
        <v>34.1</v>
      </c>
      <c r="L153" s="114">
        <f t="shared" si="8"/>
        <v>9.2274600000000007</v>
      </c>
      <c r="N153" s="107"/>
      <c r="O153" s="121"/>
    </row>
    <row r="154" spans="1:15" x14ac:dyDescent="0.2">
      <c r="A154" s="115"/>
      <c r="B154" s="116" t="s">
        <v>311</v>
      </c>
      <c r="C154" s="64"/>
      <c r="D154" s="64"/>
      <c r="E154" s="64"/>
      <c r="F154" s="64"/>
      <c r="G154" s="64"/>
      <c r="H154" s="111"/>
      <c r="I154" s="112" t="s">
        <v>335</v>
      </c>
      <c r="J154" s="128">
        <f>33*1</f>
        <v>33</v>
      </c>
      <c r="K154" s="121">
        <v>170.29</v>
      </c>
      <c r="L154" s="114">
        <f t="shared" si="8"/>
        <v>5619.57</v>
      </c>
      <c r="N154" s="107"/>
      <c r="O154" s="121"/>
    </row>
    <row r="155" spans="1:15" x14ac:dyDescent="0.2">
      <c r="A155" s="115"/>
      <c r="B155" s="116"/>
      <c r="C155" s="64"/>
      <c r="D155" s="64"/>
      <c r="E155" s="64"/>
      <c r="F155" s="64"/>
      <c r="G155" s="64"/>
      <c r="H155" s="111"/>
      <c r="I155" s="112"/>
      <c r="J155" s="194"/>
      <c r="K155" s="121"/>
      <c r="L155" s="114"/>
      <c r="N155" s="194"/>
      <c r="O155" s="121"/>
    </row>
    <row r="156" spans="1:15" x14ac:dyDescent="0.2">
      <c r="A156" s="115"/>
      <c r="B156" s="116"/>
      <c r="C156" s="64"/>
      <c r="D156" s="64"/>
      <c r="E156" s="64"/>
      <c r="F156" s="64"/>
      <c r="G156" s="64"/>
      <c r="H156" s="111"/>
      <c r="I156" s="112"/>
      <c r="J156" s="194"/>
      <c r="K156" s="113"/>
      <c r="L156" s="114" t="str">
        <f>IF(K156=0," ",IF(K156=" -"," -",J156*K156))</f>
        <v xml:space="preserve"> </v>
      </c>
      <c r="N156" s="194"/>
      <c r="O156" s="113"/>
    </row>
    <row r="157" spans="1:15" x14ac:dyDescent="0.2">
      <c r="A157" s="115"/>
      <c r="B157" s="588" t="s">
        <v>312</v>
      </c>
      <c r="C157" s="586"/>
      <c r="D157" s="586"/>
      <c r="E157" s="586"/>
      <c r="F157" s="586"/>
      <c r="G157" s="64"/>
      <c r="H157" s="111"/>
      <c r="I157" s="112"/>
      <c r="J157" s="194"/>
      <c r="K157" s="196"/>
      <c r="L157" s="197">
        <f>SUM(L7:L156)</f>
        <v>264928.59288464999</v>
      </c>
      <c r="N157" s="194"/>
      <c r="O157" s="196"/>
    </row>
    <row r="158" spans="1:15" x14ac:dyDescent="0.2">
      <c r="A158" s="115"/>
      <c r="B158" s="195"/>
      <c r="C158" s="171"/>
      <c r="D158" s="171"/>
      <c r="E158" s="171"/>
      <c r="F158" s="171"/>
      <c r="G158" s="64"/>
      <c r="H158" s="111"/>
      <c r="I158" s="112"/>
      <c r="J158" s="194"/>
      <c r="K158" s="196"/>
      <c r="L158" s="197"/>
      <c r="N158" s="194"/>
      <c r="O158" s="196"/>
    </row>
    <row r="159" spans="1:15" x14ac:dyDescent="0.2">
      <c r="A159" s="115"/>
      <c r="B159" s="195"/>
      <c r="C159" s="171"/>
      <c r="D159" s="171"/>
      <c r="E159" s="171"/>
      <c r="F159" s="171"/>
      <c r="G159" s="64"/>
      <c r="H159" s="111"/>
      <c r="I159" s="112"/>
      <c r="J159" s="194"/>
      <c r="K159" s="196"/>
      <c r="L159" s="197"/>
      <c r="N159" s="194"/>
      <c r="O159" s="196"/>
    </row>
    <row r="160" spans="1:15" x14ac:dyDescent="0.2">
      <c r="A160" s="115"/>
      <c r="B160" s="195"/>
      <c r="C160" s="171"/>
      <c r="D160" s="171"/>
      <c r="E160" s="171"/>
      <c r="F160" s="171"/>
      <c r="G160" s="64"/>
      <c r="H160" s="111"/>
      <c r="I160" s="112"/>
      <c r="J160" s="194"/>
      <c r="K160" s="196"/>
      <c r="L160" s="197"/>
      <c r="N160" s="194"/>
      <c r="O160" s="196"/>
    </row>
    <row r="161" spans="1:15" x14ac:dyDescent="0.2">
      <c r="A161" s="115"/>
      <c r="B161" s="195"/>
      <c r="C161" s="171"/>
      <c r="D161" s="171"/>
      <c r="E161" s="171"/>
      <c r="F161" s="171"/>
      <c r="G161" s="64"/>
      <c r="H161" s="111"/>
      <c r="I161" s="112"/>
      <c r="J161" s="194"/>
      <c r="K161" s="196"/>
      <c r="L161" s="197"/>
      <c r="N161" s="194"/>
      <c r="O161" s="196"/>
    </row>
    <row r="162" spans="1:15" x14ac:dyDescent="0.2">
      <c r="A162" s="115"/>
      <c r="B162" s="195"/>
      <c r="C162" s="171"/>
      <c r="D162" s="171"/>
      <c r="E162" s="171"/>
      <c r="F162" s="171"/>
      <c r="G162" s="64"/>
      <c r="H162" s="111"/>
      <c r="I162" s="112"/>
      <c r="J162" s="194"/>
      <c r="K162" s="196"/>
      <c r="L162" s="197"/>
      <c r="N162" s="194"/>
      <c r="O162" s="196"/>
    </row>
    <row r="163" spans="1:15" x14ac:dyDescent="0.2">
      <c r="A163" s="115"/>
      <c r="B163" s="195"/>
      <c r="C163" s="171"/>
      <c r="D163" s="171"/>
      <c r="E163" s="171"/>
      <c r="F163" s="171"/>
      <c r="G163" s="64"/>
      <c r="H163" s="111"/>
      <c r="I163" s="112"/>
      <c r="J163" s="194"/>
      <c r="K163" s="196"/>
      <c r="L163" s="197"/>
      <c r="N163" s="194"/>
      <c r="O163" s="196"/>
    </row>
    <row r="164" spans="1:15" x14ac:dyDescent="0.2">
      <c r="A164" s="115"/>
      <c r="B164" s="195"/>
      <c r="C164" s="171"/>
      <c r="D164" s="171"/>
      <c r="E164" s="171"/>
      <c r="F164" s="171"/>
      <c r="G164" s="64"/>
      <c r="H164" s="111"/>
      <c r="I164" s="112"/>
      <c r="J164" s="194"/>
      <c r="K164" s="196"/>
      <c r="L164" s="197"/>
      <c r="N164" s="194"/>
      <c r="O164" s="196"/>
    </row>
    <row r="165" spans="1:15" x14ac:dyDescent="0.2">
      <c r="A165" s="115"/>
      <c r="B165" s="195"/>
      <c r="C165" s="171"/>
      <c r="D165" s="171"/>
      <c r="E165" s="171"/>
      <c r="F165" s="171"/>
      <c r="G165" s="64"/>
      <c r="H165" s="111"/>
      <c r="I165" s="112"/>
      <c r="J165" s="194"/>
      <c r="K165" s="196"/>
      <c r="L165" s="197"/>
      <c r="N165" s="194"/>
      <c r="O165" s="196"/>
    </row>
    <row r="166" spans="1:15" x14ac:dyDescent="0.2">
      <c r="A166" s="115"/>
      <c r="B166" s="195"/>
      <c r="C166" s="171"/>
      <c r="D166" s="171"/>
      <c r="E166" s="171"/>
      <c r="F166" s="171"/>
      <c r="G166" s="64"/>
      <c r="H166" s="111"/>
      <c r="I166" s="112"/>
      <c r="J166" s="194"/>
      <c r="K166" s="196"/>
      <c r="L166" s="197"/>
      <c r="N166" s="194"/>
      <c r="O166" s="196"/>
    </row>
    <row r="167" spans="1:15" x14ac:dyDescent="0.2">
      <c r="A167" s="115"/>
      <c r="B167" s="195"/>
      <c r="C167" s="171"/>
      <c r="D167" s="171"/>
      <c r="E167" s="171"/>
      <c r="F167" s="171"/>
      <c r="G167" s="64"/>
      <c r="H167" s="111"/>
      <c r="I167" s="112"/>
      <c r="J167" s="194"/>
      <c r="K167" s="196"/>
      <c r="L167" s="197"/>
      <c r="N167" s="194"/>
      <c r="O167" s="196"/>
    </row>
    <row r="168" spans="1:15" x14ac:dyDescent="0.2">
      <c r="A168" s="115"/>
      <c r="B168" s="195"/>
      <c r="C168" s="171"/>
      <c r="D168" s="171"/>
      <c r="E168" s="171"/>
      <c r="F168" s="171"/>
      <c r="G168" s="64"/>
      <c r="H168" s="111"/>
      <c r="I168" s="112"/>
      <c r="J168" s="194"/>
      <c r="K168" s="196"/>
      <c r="L168" s="197"/>
      <c r="N168" s="194"/>
      <c r="O168" s="196"/>
    </row>
    <row r="169" spans="1:15" x14ac:dyDescent="0.2">
      <c r="A169" s="115"/>
      <c r="B169" s="195"/>
      <c r="C169" s="171"/>
      <c r="D169" s="171"/>
      <c r="E169" s="171"/>
      <c r="F169" s="171"/>
      <c r="G169" s="64"/>
      <c r="H169" s="111"/>
      <c r="I169" s="112"/>
      <c r="J169" s="194"/>
      <c r="K169" s="196"/>
      <c r="L169" s="197"/>
      <c r="N169" s="194"/>
      <c r="O169" s="196"/>
    </row>
    <row r="170" spans="1:15" x14ac:dyDescent="0.2">
      <c r="A170" s="115"/>
      <c r="B170" s="195"/>
      <c r="C170" s="171"/>
      <c r="D170" s="171"/>
      <c r="E170" s="171"/>
      <c r="F170" s="171"/>
      <c r="G170" s="64"/>
      <c r="H170" s="111"/>
      <c r="I170" s="112"/>
      <c r="J170" s="194"/>
      <c r="K170" s="196"/>
      <c r="L170" s="197"/>
      <c r="N170" s="194"/>
      <c r="O170" s="196"/>
    </row>
    <row r="171" spans="1:15" x14ac:dyDescent="0.2">
      <c r="A171" s="115"/>
      <c r="B171" s="195"/>
      <c r="C171" s="171"/>
      <c r="D171" s="171"/>
      <c r="E171" s="171"/>
      <c r="F171" s="171"/>
      <c r="G171" s="64"/>
      <c r="H171" s="111"/>
      <c r="I171" s="112"/>
      <c r="J171" s="194"/>
      <c r="K171" s="196"/>
      <c r="L171" s="197"/>
      <c r="N171" s="194"/>
      <c r="O171" s="196"/>
    </row>
    <row r="172" spans="1:15" x14ac:dyDescent="0.2">
      <c r="A172" s="115"/>
      <c r="B172" s="195"/>
      <c r="C172" s="171"/>
      <c r="D172" s="171"/>
      <c r="E172" s="171"/>
      <c r="F172" s="171"/>
      <c r="G172" s="64"/>
      <c r="H172" s="111"/>
      <c r="I172" s="112"/>
      <c r="J172" s="194"/>
      <c r="K172" s="196"/>
      <c r="L172" s="197"/>
      <c r="N172" s="194"/>
      <c r="O172" s="196"/>
    </row>
    <row r="173" spans="1:15" x14ac:dyDescent="0.2">
      <c r="A173" s="115"/>
      <c r="B173" s="195"/>
      <c r="C173" s="171"/>
      <c r="D173" s="171"/>
      <c r="E173" s="171"/>
      <c r="F173" s="171"/>
      <c r="G173" s="64"/>
      <c r="H173" s="111"/>
      <c r="I173" s="112"/>
      <c r="J173" s="194"/>
      <c r="K173" s="196"/>
      <c r="L173" s="197"/>
      <c r="N173" s="194"/>
      <c r="O173" s="196"/>
    </row>
    <row r="174" spans="1:15" x14ac:dyDescent="0.2">
      <c r="A174" s="115"/>
      <c r="B174" s="195"/>
      <c r="C174" s="171"/>
      <c r="D174" s="171"/>
      <c r="E174" s="171"/>
      <c r="F174" s="171"/>
      <c r="G174" s="64"/>
      <c r="H174" s="111"/>
      <c r="I174" s="112"/>
      <c r="J174" s="194"/>
      <c r="K174" s="196"/>
      <c r="L174" s="197"/>
      <c r="N174" s="194"/>
      <c r="O174" s="196"/>
    </row>
    <row r="175" spans="1:15" x14ac:dyDescent="0.2">
      <c r="A175" s="115"/>
      <c r="B175" s="195"/>
      <c r="C175" s="171"/>
      <c r="D175" s="171"/>
      <c r="E175" s="171"/>
      <c r="F175" s="171"/>
      <c r="G175" s="64"/>
      <c r="H175" s="111"/>
      <c r="I175" s="112"/>
      <c r="J175" s="194"/>
      <c r="K175" s="196"/>
      <c r="L175" s="197"/>
      <c r="N175" s="194"/>
      <c r="O175" s="196"/>
    </row>
    <row r="176" spans="1:15" x14ac:dyDescent="0.2">
      <c r="A176" s="115"/>
      <c r="B176" s="195"/>
      <c r="C176" s="171"/>
      <c r="D176" s="171"/>
      <c r="E176" s="171"/>
      <c r="F176" s="171"/>
      <c r="G176" s="64"/>
      <c r="H176" s="111"/>
      <c r="I176" s="112"/>
      <c r="J176" s="194"/>
      <c r="K176" s="196"/>
      <c r="L176" s="197"/>
      <c r="N176" s="194"/>
      <c r="O176" s="196"/>
    </row>
    <row r="177" spans="1:15" x14ac:dyDescent="0.2">
      <c r="A177" s="115"/>
      <c r="B177" s="195"/>
      <c r="C177" s="171"/>
      <c r="D177" s="171"/>
      <c r="E177" s="171"/>
      <c r="F177" s="171"/>
      <c r="G177" s="64"/>
      <c r="H177" s="111"/>
      <c r="I177" s="112"/>
      <c r="J177" s="194"/>
      <c r="K177" s="196"/>
      <c r="L177" s="197"/>
      <c r="N177" s="194"/>
      <c r="O177" s="196"/>
    </row>
    <row r="178" spans="1:15" ht="13.5" thickBot="1" x14ac:dyDescent="0.25">
      <c r="A178" s="134"/>
      <c r="B178" s="135"/>
      <c r="C178" s="136"/>
      <c r="D178" s="136"/>
      <c r="E178" s="136"/>
      <c r="F178" s="136"/>
      <c r="G178" s="136"/>
      <c r="H178" s="137"/>
      <c r="I178" s="188"/>
      <c r="J178" s="138"/>
      <c r="K178" s="189"/>
      <c r="L178" s="141"/>
      <c r="N178" s="138"/>
      <c r="O178" s="189"/>
    </row>
    <row r="179" spans="1:15" ht="5.25" customHeight="1" thickBot="1" x14ac:dyDescent="0.25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N179" s="142"/>
      <c r="O179" s="142"/>
    </row>
    <row r="180" spans="1:15" x14ac:dyDescent="0.2">
      <c r="A180" s="93" t="s">
        <v>275</v>
      </c>
      <c r="B180" s="87"/>
      <c r="C180" s="87"/>
      <c r="D180" s="87"/>
      <c r="E180" s="144" t="s">
        <v>276</v>
      </c>
      <c r="F180" s="87"/>
      <c r="G180" s="87"/>
      <c r="H180" s="105"/>
      <c r="I180" s="44" t="s">
        <v>277</v>
      </c>
      <c r="J180" s="87"/>
      <c r="K180" s="144" t="s">
        <v>278</v>
      </c>
      <c r="L180" s="146"/>
      <c r="N180" s="87"/>
      <c r="O180" s="144" t="s">
        <v>278</v>
      </c>
    </row>
    <row r="181" spans="1:15" ht="13.5" customHeight="1" thickBot="1" x14ac:dyDescent="0.25">
      <c r="A181" s="583"/>
      <c r="B181" s="573"/>
      <c r="C181" s="573"/>
      <c r="D181" s="573"/>
      <c r="E181" s="584"/>
      <c r="F181" s="573"/>
      <c r="G181" s="573"/>
      <c r="H181" s="574"/>
      <c r="I181" s="147"/>
      <c r="J181" s="147"/>
      <c r="K181" s="135"/>
      <c r="L181" s="149"/>
      <c r="N181" s="147"/>
      <c r="O181" s="135"/>
    </row>
  </sheetData>
  <mergeCells count="20">
    <mergeCell ref="B37:H37"/>
    <mergeCell ref="B38:H38"/>
    <mergeCell ref="G2:J2"/>
    <mergeCell ref="G4:K4"/>
    <mergeCell ref="B6:H6"/>
    <mergeCell ref="B30:H30"/>
    <mergeCell ref="A181:D181"/>
    <mergeCell ref="E181:H181"/>
    <mergeCell ref="B114:H114"/>
    <mergeCell ref="B116:H116"/>
    <mergeCell ref="B123:H123"/>
    <mergeCell ref="B157:F157"/>
    <mergeCell ref="A146:D146"/>
    <mergeCell ref="E146:H146"/>
    <mergeCell ref="A111:D111"/>
    <mergeCell ref="E111:H111"/>
    <mergeCell ref="A41:D41"/>
    <mergeCell ref="E41:H41"/>
    <mergeCell ref="A76:D76"/>
    <mergeCell ref="E76:H76"/>
  </mergeCells>
  <phoneticPr fontId="0" type="noConversion"/>
  <pageMargins left="0.74" right="0.55118110236220474" top="0.86" bottom="0.39370078740157483" header="0.9" footer="0.51181102362204722"/>
  <pageSetup paperSize="9" orientation="landscape" horizontalDpi="4294967294" verticalDpi="300" r:id="rId1"/>
  <headerFooter alignWithMargins="0">
    <oddHeader>&amp;R
&amp;P     .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H15" sqref="H15"/>
    </sheetView>
  </sheetViews>
  <sheetFormatPr defaultRowHeight="12.75" x14ac:dyDescent="0.2"/>
  <cols>
    <col min="3" max="3" width="60.140625" customWidth="1"/>
    <col min="7" max="7" width="8.7109375" bestFit="1" customWidth="1"/>
  </cols>
  <sheetData>
    <row r="1" spans="1:11" ht="14.25" x14ac:dyDescent="0.2">
      <c r="A1" s="458"/>
      <c r="B1" s="459"/>
      <c r="C1" s="460"/>
      <c r="D1" s="461"/>
      <c r="E1" s="462"/>
      <c r="F1" s="463"/>
      <c r="G1" s="463"/>
      <c r="H1" s="464"/>
    </row>
    <row r="2" spans="1:11" ht="14.25" x14ac:dyDescent="0.2">
      <c r="A2" s="465"/>
      <c r="B2" s="466"/>
      <c r="C2" s="603" t="s">
        <v>479</v>
      </c>
      <c r="D2" s="603"/>
      <c r="E2" s="603"/>
      <c r="F2" s="603"/>
      <c r="G2" s="603"/>
      <c r="H2" s="467"/>
    </row>
    <row r="3" spans="1:11" ht="14.25" x14ac:dyDescent="0.2">
      <c r="A3" s="465"/>
      <c r="B3" s="466"/>
      <c r="C3" s="603" t="s">
        <v>480</v>
      </c>
      <c r="D3" s="603"/>
      <c r="E3" s="603"/>
      <c r="F3" s="603"/>
      <c r="G3" s="603"/>
      <c r="H3" s="467"/>
    </row>
    <row r="4" spans="1:11" ht="14.25" x14ac:dyDescent="0.2">
      <c r="A4" s="465"/>
      <c r="B4" s="466"/>
      <c r="C4" s="604" t="s">
        <v>481</v>
      </c>
      <c r="D4" s="604"/>
      <c r="E4" s="604"/>
      <c r="F4" s="604"/>
      <c r="G4" s="604"/>
      <c r="H4" s="605"/>
    </row>
    <row r="5" spans="1:11" ht="14.25" x14ac:dyDescent="0.2">
      <c r="A5" s="465"/>
      <c r="B5" s="466"/>
      <c r="C5" s="603"/>
      <c r="D5" s="603"/>
      <c r="E5" s="603"/>
      <c r="F5" s="603"/>
      <c r="G5" s="603"/>
      <c r="H5" s="467"/>
    </row>
    <row r="6" spans="1:11" x14ac:dyDescent="0.2">
      <c r="A6" s="468"/>
      <c r="B6" s="469"/>
      <c r="C6" s="470"/>
      <c r="D6" s="471"/>
      <c r="E6" s="470"/>
      <c r="F6" s="472"/>
      <c r="G6" s="472"/>
      <c r="H6" s="467"/>
    </row>
    <row r="7" spans="1:11" x14ac:dyDescent="0.2">
      <c r="A7" s="473" t="s">
        <v>1</v>
      </c>
      <c r="B7" s="474"/>
      <c r="C7" s="470"/>
      <c r="D7" s="471"/>
      <c r="E7" s="470"/>
      <c r="F7" s="472"/>
      <c r="G7" s="472"/>
      <c r="H7" s="467"/>
    </row>
    <row r="8" spans="1:11" x14ac:dyDescent="0.2">
      <c r="A8" s="473" t="s">
        <v>0</v>
      </c>
      <c r="B8" s="474"/>
      <c r="C8" s="470"/>
      <c r="D8" s="471"/>
      <c r="E8" s="470"/>
      <c r="F8" s="472"/>
      <c r="G8" s="472"/>
      <c r="H8" s="467"/>
    </row>
    <row r="9" spans="1:11" ht="15" thickBot="1" x14ac:dyDescent="0.25">
      <c r="A9" s="475"/>
      <c r="B9" s="476"/>
      <c r="C9" s="477"/>
      <c r="D9" s="478"/>
      <c r="E9" s="479"/>
      <c r="F9" s="472"/>
      <c r="G9" s="472"/>
      <c r="H9" s="467"/>
    </row>
    <row r="10" spans="1:11" ht="16.5" thickBot="1" x14ac:dyDescent="0.3">
      <c r="A10" s="606" t="s">
        <v>482</v>
      </c>
      <c r="B10" s="607"/>
      <c r="C10" s="607"/>
      <c r="D10" s="607"/>
      <c r="E10" s="607"/>
      <c r="F10" s="607"/>
      <c r="G10" s="607"/>
      <c r="H10" s="608"/>
    </row>
    <row r="11" spans="1:11" ht="15" x14ac:dyDescent="0.25">
      <c r="A11" s="480"/>
      <c r="B11" s="481"/>
      <c r="C11" s="482"/>
      <c r="D11" s="483"/>
      <c r="E11" s="484"/>
      <c r="F11" s="472"/>
      <c r="G11" s="472"/>
      <c r="H11" s="467"/>
    </row>
    <row r="12" spans="1:11" ht="24" x14ac:dyDescent="0.2">
      <c r="A12" s="485" t="s">
        <v>189</v>
      </c>
      <c r="B12" s="486" t="s">
        <v>483</v>
      </c>
      <c r="C12" s="487" t="s">
        <v>201</v>
      </c>
      <c r="D12" s="487" t="s">
        <v>230</v>
      </c>
      <c r="E12" s="488" t="s">
        <v>380</v>
      </c>
      <c r="F12" s="489" t="s">
        <v>389</v>
      </c>
      <c r="G12" s="489" t="s">
        <v>390</v>
      </c>
      <c r="H12" s="490" t="s">
        <v>484</v>
      </c>
    </row>
    <row r="13" spans="1:11" ht="15.75" x14ac:dyDescent="0.25">
      <c r="A13" s="491"/>
      <c r="B13" s="492"/>
      <c r="C13" s="493"/>
      <c r="D13" s="493"/>
      <c r="E13" s="494"/>
      <c r="F13" s="495"/>
      <c r="G13" s="495"/>
      <c r="H13" s="496"/>
    </row>
    <row r="14" spans="1:11" x14ac:dyDescent="0.2">
      <c r="A14" s="506" t="s">
        <v>485</v>
      </c>
      <c r="B14" s="507"/>
      <c r="C14" s="508" t="s">
        <v>420</v>
      </c>
      <c r="D14" s="509" t="s">
        <v>461</v>
      </c>
      <c r="E14" s="510"/>
      <c r="F14" s="511"/>
      <c r="G14" s="511"/>
      <c r="H14" s="512">
        <f>ROUND(SUM(H15:H21),2)</f>
        <v>403.95</v>
      </c>
    </row>
    <row r="15" spans="1:11" s="502" customFormat="1" ht="24" x14ac:dyDescent="0.2">
      <c r="A15" s="515" t="s">
        <v>472</v>
      </c>
      <c r="B15" s="503" t="s">
        <v>454</v>
      </c>
      <c r="C15" s="504" t="s">
        <v>455</v>
      </c>
      <c r="D15" s="505" t="s">
        <v>456</v>
      </c>
      <c r="E15" s="513">
        <v>1</v>
      </c>
      <c r="F15" s="514">
        <v>11.47</v>
      </c>
      <c r="G15" s="514">
        <f>ROUND(E15*F15,2)</f>
        <v>11.47</v>
      </c>
      <c r="H15" s="516">
        <f>G15</f>
        <v>11.47</v>
      </c>
      <c r="J15" s="502">
        <v>12.07</v>
      </c>
      <c r="K15" s="502">
        <f>ROUND(J15*0.95,2)</f>
        <v>11.47</v>
      </c>
    </row>
    <row r="16" spans="1:11" s="502" customFormat="1" ht="24" x14ac:dyDescent="0.2">
      <c r="A16" s="515" t="s">
        <v>473</v>
      </c>
      <c r="B16" s="503" t="s">
        <v>457</v>
      </c>
      <c r="C16" s="504" t="s">
        <v>458</v>
      </c>
      <c r="D16" s="505" t="s">
        <v>456</v>
      </c>
      <c r="E16" s="513">
        <v>4</v>
      </c>
      <c r="F16" s="514">
        <v>6.06</v>
      </c>
      <c r="G16" s="514">
        <f>ROUND(E16*F16,2)</f>
        <v>24.24</v>
      </c>
      <c r="H16" s="516">
        <f t="shared" ref="H16:H21" si="0">G16</f>
        <v>24.24</v>
      </c>
      <c r="J16" s="502">
        <v>6.38</v>
      </c>
      <c r="K16" s="502">
        <f t="shared" ref="K16:K21" si="1">ROUND(J16*0.95,2)</f>
        <v>6.06</v>
      </c>
    </row>
    <row r="17" spans="1:14" s="502" customFormat="1" ht="24" x14ac:dyDescent="0.2">
      <c r="A17" s="515" t="s">
        <v>474</v>
      </c>
      <c r="B17" s="503" t="s">
        <v>459</v>
      </c>
      <c r="C17" s="504" t="s">
        <v>460</v>
      </c>
      <c r="D17" s="505" t="s">
        <v>461</v>
      </c>
      <c r="E17" s="513">
        <v>1</v>
      </c>
      <c r="F17" s="514">
        <v>318.25</v>
      </c>
      <c r="G17" s="514">
        <f t="shared" ref="G17:G21" si="2">ROUND(E17*F17,2)</f>
        <v>318.25</v>
      </c>
      <c r="H17" s="516">
        <f t="shared" si="0"/>
        <v>318.25</v>
      </c>
      <c r="J17" s="502">
        <v>335</v>
      </c>
      <c r="K17" s="502">
        <f t="shared" si="1"/>
        <v>318.25</v>
      </c>
    </row>
    <row r="18" spans="1:14" s="502" customFormat="1" x14ac:dyDescent="0.2">
      <c r="A18" s="515" t="s">
        <v>475</v>
      </c>
      <c r="B18" s="503" t="s">
        <v>462</v>
      </c>
      <c r="C18" s="504" t="s">
        <v>463</v>
      </c>
      <c r="D18" s="505" t="s">
        <v>464</v>
      </c>
      <c r="E18" s="513">
        <v>0.11</v>
      </c>
      <c r="F18" s="514">
        <v>17.82</v>
      </c>
      <c r="G18" s="514">
        <f t="shared" si="2"/>
        <v>1.96</v>
      </c>
      <c r="H18" s="516">
        <f t="shared" si="0"/>
        <v>1.96</v>
      </c>
      <c r="J18">
        <v>18.760000000000002</v>
      </c>
      <c r="K18" s="502">
        <f t="shared" si="1"/>
        <v>17.82</v>
      </c>
    </row>
    <row r="19" spans="1:14" x14ac:dyDescent="0.2">
      <c r="A19" s="515" t="s">
        <v>476</v>
      </c>
      <c r="B19" s="503" t="s">
        <v>465</v>
      </c>
      <c r="C19" s="504" t="s">
        <v>466</v>
      </c>
      <c r="D19" s="505" t="s">
        <v>449</v>
      </c>
      <c r="E19" s="513">
        <v>1</v>
      </c>
      <c r="F19" s="514">
        <f t="shared" ref="F19:F20" si="3">ROUND(J19*0.95,2)</f>
        <v>18.46</v>
      </c>
      <c r="G19" s="514">
        <f t="shared" si="2"/>
        <v>18.46</v>
      </c>
      <c r="H19" s="516">
        <f t="shared" si="0"/>
        <v>18.46</v>
      </c>
      <c r="J19">
        <v>19.43</v>
      </c>
      <c r="K19" s="502">
        <f t="shared" si="1"/>
        <v>18.46</v>
      </c>
    </row>
    <row r="20" spans="1:14" x14ac:dyDescent="0.2">
      <c r="A20" s="515" t="s">
        <v>477</v>
      </c>
      <c r="B20" s="503" t="s">
        <v>467</v>
      </c>
      <c r="C20" s="504" t="s">
        <v>468</v>
      </c>
      <c r="D20" s="505" t="s">
        <v>449</v>
      </c>
      <c r="E20" s="513">
        <v>2</v>
      </c>
      <c r="F20" s="514">
        <f t="shared" si="3"/>
        <v>13.4</v>
      </c>
      <c r="G20" s="514">
        <f t="shared" si="2"/>
        <v>26.8</v>
      </c>
      <c r="H20" s="516">
        <f t="shared" si="0"/>
        <v>26.8</v>
      </c>
      <c r="J20">
        <v>14.11</v>
      </c>
      <c r="K20" s="502">
        <f t="shared" si="1"/>
        <v>13.4</v>
      </c>
    </row>
    <row r="21" spans="1:14" ht="36" x14ac:dyDescent="0.2">
      <c r="A21" s="515" t="s">
        <v>478</v>
      </c>
      <c r="B21" s="503" t="s">
        <v>469</v>
      </c>
      <c r="C21" s="504" t="s">
        <v>470</v>
      </c>
      <c r="D21" s="505" t="s">
        <v>471</v>
      </c>
      <c r="E21" s="513">
        <v>0.01</v>
      </c>
      <c r="F21" s="514">
        <v>276.56</v>
      </c>
      <c r="G21" s="514">
        <f t="shared" si="2"/>
        <v>2.77</v>
      </c>
      <c r="H21" s="516">
        <f t="shared" si="0"/>
        <v>2.77</v>
      </c>
      <c r="J21">
        <v>291.12</v>
      </c>
      <c r="K21" s="502">
        <f t="shared" si="1"/>
        <v>276.56</v>
      </c>
      <c r="N21" s="518">
        <f>SERVIÇOS!S23</f>
        <v>0</v>
      </c>
    </row>
    <row r="22" spans="1:14" ht="41.25" customHeight="1" x14ac:dyDescent="0.25">
      <c r="A22" s="595" t="s">
        <v>486</v>
      </c>
      <c r="B22" s="596"/>
      <c r="C22" s="596"/>
      <c r="D22" s="596" t="s">
        <v>486</v>
      </c>
      <c r="E22" s="596"/>
      <c r="F22" s="596"/>
      <c r="G22" s="596"/>
      <c r="H22" s="609"/>
    </row>
    <row r="23" spans="1:14" ht="15.75" x14ac:dyDescent="0.25">
      <c r="A23" s="595" t="s">
        <v>487</v>
      </c>
      <c r="B23" s="596"/>
      <c r="C23" s="596"/>
      <c r="D23" s="597" t="s">
        <v>488</v>
      </c>
      <c r="E23" s="597"/>
      <c r="F23" s="597"/>
      <c r="G23" s="597"/>
      <c r="H23" s="598"/>
    </row>
    <row r="24" spans="1:14" ht="16.5" thickBot="1" x14ac:dyDescent="0.3">
      <c r="A24" s="599" t="s">
        <v>436</v>
      </c>
      <c r="B24" s="600"/>
      <c r="C24" s="600"/>
      <c r="D24" s="601" t="s">
        <v>489</v>
      </c>
      <c r="E24" s="601"/>
      <c r="F24" s="601"/>
      <c r="G24" s="601"/>
      <c r="H24" s="602"/>
    </row>
    <row r="25" spans="1:14" ht="15.75" x14ac:dyDescent="0.25">
      <c r="A25" s="497"/>
      <c r="B25" s="497"/>
      <c r="C25" s="498"/>
      <c r="D25" s="499"/>
      <c r="E25" s="500"/>
      <c r="F25" s="500"/>
      <c r="G25" s="420"/>
      <c r="H25" s="501"/>
    </row>
  </sheetData>
  <mergeCells count="11">
    <mergeCell ref="A23:C23"/>
    <mergeCell ref="D23:H23"/>
    <mergeCell ref="A24:C24"/>
    <mergeCell ref="D24:H24"/>
    <mergeCell ref="C2:G2"/>
    <mergeCell ref="C3:G3"/>
    <mergeCell ref="C4:H4"/>
    <mergeCell ref="C5:G5"/>
    <mergeCell ref="A10:H10"/>
    <mergeCell ref="A22:C22"/>
    <mergeCell ref="D22:H2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6" zoomScale="90" zoomScaleNormal="90" workbookViewId="0">
      <selection activeCell="J58" sqref="C51:J58"/>
    </sheetView>
  </sheetViews>
  <sheetFormatPr defaultRowHeight="12.75" x14ac:dyDescent="0.2"/>
  <cols>
    <col min="1" max="1" width="5.28515625" customWidth="1"/>
    <col min="6" max="6" width="11.42578125" customWidth="1"/>
    <col min="10" max="10" width="13.140625" customWidth="1"/>
  </cols>
  <sheetData>
    <row r="1" spans="1:11" ht="16.5" thickBot="1" x14ac:dyDescent="0.3">
      <c r="A1" s="373"/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 ht="15.75" x14ac:dyDescent="0.25">
      <c r="A2" s="373"/>
      <c r="B2" s="641" t="s">
        <v>189</v>
      </c>
      <c r="C2" s="654" t="s">
        <v>394</v>
      </c>
      <c r="D2" s="655"/>
      <c r="E2" s="655"/>
      <c r="F2" s="656"/>
      <c r="G2" s="649" t="s">
        <v>395</v>
      </c>
      <c r="H2" s="650"/>
      <c r="I2" s="650"/>
      <c r="J2" s="651"/>
      <c r="K2" s="373"/>
    </row>
    <row r="3" spans="1:11" ht="15.75" x14ac:dyDescent="0.25">
      <c r="A3" s="373"/>
      <c r="B3" s="642"/>
      <c r="C3" s="657"/>
      <c r="D3" s="658"/>
      <c r="E3" s="658"/>
      <c r="F3" s="659"/>
      <c r="G3" s="374"/>
      <c r="H3" s="375" t="s">
        <v>396</v>
      </c>
      <c r="I3" s="376" t="s">
        <v>397</v>
      </c>
      <c r="J3" s="377" t="s">
        <v>398</v>
      </c>
      <c r="K3" s="373"/>
    </row>
    <row r="4" spans="1:11" ht="15.75" x14ac:dyDescent="0.25">
      <c r="A4" s="373"/>
      <c r="B4" s="378" t="s">
        <v>399</v>
      </c>
      <c r="C4" s="652" t="s">
        <v>400</v>
      </c>
      <c r="D4" s="652"/>
      <c r="E4" s="652"/>
      <c r="F4" s="653"/>
      <c r="G4" s="374" t="s">
        <v>399</v>
      </c>
      <c r="H4" s="379">
        <v>3.4299999999999997E-2</v>
      </c>
      <c r="I4" s="380">
        <v>4.9299999999999997E-2</v>
      </c>
      <c r="J4" s="381">
        <v>6.7100000000000007E-2</v>
      </c>
      <c r="K4" s="373"/>
    </row>
    <row r="5" spans="1:11" ht="15.75" x14ac:dyDescent="0.25">
      <c r="A5" s="373"/>
      <c r="B5" s="382" t="s">
        <v>401</v>
      </c>
      <c r="C5" s="622" t="s">
        <v>402</v>
      </c>
      <c r="D5" s="622"/>
      <c r="E5" s="622"/>
      <c r="F5" s="623"/>
      <c r="G5" s="374" t="s">
        <v>401</v>
      </c>
      <c r="H5" s="379">
        <v>9.4000000000000004E-3</v>
      </c>
      <c r="I5" s="380">
        <v>9.9000000000000008E-3</v>
      </c>
      <c r="J5" s="381">
        <v>1.17E-2</v>
      </c>
      <c r="K5" s="373"/>
    </row>
    <row r="6" spans="1:11" ht="15.75" x14ac:dyDescent="0.25">
      <c r="A6" s="373"/>
      <c r="B6" s="624" t="s">
        <v>403</v>
      </c>
      <c r="C6" s="652" t="s">
        <v>404</v>
      </c>
      <c r="D6" s="652"/>
      <c r="E6" s="652"/>
      <c r="F6" s="653"/>
      <c r="G6" s="374" t="s">
        <v>403</v>
      </c>
      <c r="H6" s="379">
        <v>0.01</v>
      </c>
      <c r="I6" s="380">
        <v>1.3899999999999999E-2</v>
      </c>
      <c r="J6" s="381">
        <v>1.7399999999999999E-2</v>
      </c>
      <c r="K6" s="373"/>
    </row>
    <row r="7" spans="1:11" ht="15.75" x14ac:dyDescent="0.25">
      <c r="A7" s="373"/>
      <c r="B7" s="624"/>
      <c r="C7" s="652" t="s">
        <v>405</v>
      </c>
      <c r="D7" s="652"/>
      <c r="E7" s="652"/>
      <c r="F7" s="653"/>
      <c r="G7" s="374" t="s">
        <v>406</v>
      </c>
      <c r="H7" s="379">
        <v>2.8E-3</v>
      </c>
      <c r="I7" s="380">
        <v>4.8999999999999998E-3</v>
      </c>
      <c r="J7" s="381">
        <v>7.4999999999999997E-3</v>
      </c>
      <c r="K7" s="373"/>
    </row>
    <row r="8" spans="1:11" ht="15.75" x14ac:dyDescent="0.25">
      <c r="A8" s="373"/>
      <c r="B8" s="382" t="s">
        <v>407</v>
      </c>
      <c r="C8" s="622" t="s">
        <v>408</v>
      </c>
      <c r="D8" s="622"/>
      <c r="E8" s="622"/>
      <c r="F8" s="623"/>
      <c r="G8" s="374" t="s">
        <v>407</v>
      </c>
      <c r="H8" s="379">
        <v>6.7400000000000002E-2</v>
      </c>
      <c r="I8" s="380">
        <v>8.0399999999999999E-2</v>
      </c>
      <c r="J8" s="381">
        <v>9.4E-2</v>
      </c>
      <c r="K8" s="373"/>
    </row>
    <row r="9" spans="1:11" ht="15.75" x14ac:dyDescent="0.25">
      <c r="A9" s="373"/>
      <c r="B9" s="624" t="s">
        <v>409</v>
      </c>
      <c r="C9" s="625" t="s">
        <v>410</v>
      </c>
      <c r="D9" s="626"/>
      <c r="E9" s="627"/>
      <c r="F9" s="383">
        <v>0.05</v>
      </c>
      <c r="G9" s="628" t="s">
        <v>411</v>
      </c>
      <c r="H9" s="629"/>
      <c r="I9" s="629"/>
      <c r="J9" s="630"/>
      <c r="K9" s="373"/>
    </row>
    <row r="10" spans="1:11" ht="15.75" x14ac:dyDescent="0.25">
      <c r="A10" s="373"/>
      <c r="B10" s="624"/>
      <c r="C10" s="631" t="s">
        <v>412</v>
      </c>
      <c r="D10" s="632"/>
      <c r="E10" s="633"/>
      <c r="F10" s="384">
        <v>0.03</v>
      </c>
      <c r="G10" s="617" t="s">
        <v>413</v>
      </c>
      <c r="H10" s="618">
        <f>(((1+H4+H6+H7))*(1+H5)*(1+H8))/(1-(F9+F10+F11))-1</f>
        <v>0.23500895531034471</v>
      </c>
      <c r="I10" s="620">
        <f>(((1+I4+I6+I7))*(1+I5)*(1+I8))/(1-(F9+F10+F11))-1</f>
        <v>0.27575215640503536</v>
      </c>
      <c r="J10" s="620">
        <f>(((1+J4+J6+J7))*(1+J5)*(1+J8))/(1-(F9+F10+F11))-1</f>
        <v>0.32307102528735676</v>
      </c>
      <c r="K10" s="373"/>
    </row>
    <row r="11" spans="1:11" ht="15.75" x14ac:dyDescent="0.25">
      <c r="A11" s="373"/>
      <c r="B11" s="624"/>
      <c r="C11" s="631" t="s">
        <v>414</v>
      </c>
      <c r="D11" s="632"/>
      <c r="E11" s="633"/>
      <c r="F11" s="384">
        <v>6.4999999999999997E-3</v>
      </c>
      <c r="G11" s="617"/>
      <c r="H11" s="619"/>
      <c r="I11" s="621"/>
      <c r="J11" s="621"/>
      <c r="K11" s="373"/>
    </row>
    <row r="12" spans="1:11" ht="15.75" x14ac:dyDescent="0.25">
      <c r="A12" s="373"/>
      <c r="B12" s="624"/>
      <c r="C12" s="634" t="s">
        <v>415</v>
      </c>
      <c r="D12" s="635"/>
      <c r="E12" s="636"/>
      <c r="F12" s="385">
        <v>4.4999999999999998E-2</v>
      </c>
      <c r="G12" s="637" t="s">
        <v>416</v>
      </c>
      <c r="H12" s="638"/>
      <c r="I12" s="639"/>
      <c r="J12" s="640"/>
      <c r="K12" s="373"/>
    </row>
    <row r="13" spans="1:11" ht="15.75" x14ac:dyDescent="0.25">
      <c r="A13" s="373"/>
      <c r="B13" s="611"/>
      <c r="C13" s="612"/>
      <c r="D13" s="612"/>
      <c r="E13" s="612"/>
      <c r="F13" s="613"/>
      <c r="G13" s="617" t="s">
        <v>413</v>
      </c>
      <c r="H13" s="618">
        <f>(((1+(H4+H6+H7))*(1+H5)*(1+H8))/(1-(F9+F10+F11+F12)))-1</f>
        <v>0.29899905662176152</v>
      </c>
      <c r="I13" s="620">
        <f>(((1+(I4+I6+I7))*(1+I5)*(1+I8))/(1-(F9+F10+F11+F12)))-1</f>
        <v>0.34185330440529649</v>
      </c>
      <c r="J13" s="620">
        <f>(((1+(J4+J6+J7))*(1+J5)*(1+J8))/(1-(F9+F10+F11+F12)))-1</f>
        <v>0.39162392815198643</v>
      </c>
      <c r="K13" s="373"/>
    </row>
    <row r="14" spans="1:11" ht="16.5" thickBot="1" x14ac:dyDescent="0.3">
      <c r="A14" s="373"/>
      <c r="B14" s="614"/>
      <c r="C14" s="615"/>
      <c r="D14" s="615"/>
      <c r="E14" s="615"/>
      <c r="F14" s="616"/>
      <c r="G14" s="617"/>
      <c r="H14" s="619"/>
      <c r="I14" s="621"/>
      <c r="J14" s="621"/>
      <c r="K14" s="373"/>
    </row>
    <row r="15" spans="1:11" ht="15.75" x14ac:dyDescent="0.25">
      <c r="A15" s="386"/>
      <c r="B15" s="386"/>
      <c r="C15" s="386"/>
      <c r="D15" s="386"/>
      <c r="E15" s="386"/>
      <c r="F15" s="386"/>
      <c r="G15" s="386"/>
      <c r="H15" s="386"/>
      <c r="I15" s="387"/>
      <c r="J15" s="386"/>
      <c r="K15" s="373"/>
    </row>
    <row r="18" spans="1:11" ht="16.5" thickBot="1" x14ac:dyDescent="0.3">
      <c r="A18" s="373"/>
      <c r="B18" s="373"/>
      <c r="C18" s="373"/>
      <c r="D18" s="373"/>
      <c r="E18" s="373"/>
      <c r="F18" s="373"/>
      <c r="G18" s="373"/>
      <c r="H18" s="373"/>
      <c r="I18" s="373"/>
      <c r="J18" s="373"/>
      <c r="K18" s="373"/>
    </row>
    <row r="19" spans="1:11" ht="15.75" x14ac:dyDescent="0.25">
      <c r="A19" s="373"/>
      <c r="B19" s="641" t="s">
        <v>189</v>
      </c>
      <c r="C19" s="643" t="s">
        <v>417</v>
      </c>
      <c r="D19" s="644"/>
      <c r="E19" s="644"/>
      <c r="F19" s="645"/>
      <c r="G19" s="649" t="s">
        <v>395</v>
      </c>
      <c r="H19" s="650"/>
      <c r="I19" s="650"/>
      <c r="J19" s="651"/>
      <c r="K19" s="373"/>
    </row>
    <row r="20" spans="1:11" ht="15.75" x14ac:dyDescent="0.25">
      <c r="A20" s="373"/>
      <c r="B20" s="642"/>
      <c r="C20" s="646"/>
      <c r="D20" s="647"/>
      <c r="E20" s="647"/>
      <c r="F20" s="648"/>
      <c r="G20" s="374"/>
      <c r="H20" s="375" t="s">
        <v>396</v>
      </c>
      <c r="I20" s="376" t="s">
        <v>397</v>
      </c>
      <c r="J20" s="377" t="s">
        <v>398</v>
      </c>
      <c r="K20" s="373"/>
    </row>
    <row r="21" spans="1:11" ht="15.75" x14ac:dyDescent="0.25">
      <c r="A21" s="373"/>
      <c r="B21" s="378" t="s">
        <v>399</v>
      </c>
      <c r="C21" s="652" t="s">
        <v>400</v>
      </c>
      <c r="D21" s="652"/>
      <c r="E21" s="652"/>
      <c r="F21" s="653"/>
      <c r="G21" s="374" t="s">
        <v>399</v>
      </c>
      <c r="H21" s="379">
        <v>2.7400000000000001E-2</v>
      </c>
      <c r="I21" s="380">
        <v>3.4500000000000003E-2</v>
      </c>
      <c r="J21" s="381">
        <v>4.1500000000000002E-2</v>
      </c>
      <c r="K21" s="373"/>
    </row>
    <row r="22" spans="1:11" ht="15.75" x14ac:dyDescent="0.25">
      <c r="A22" s="373"/>
      <c r="B22" s="382" t="s">
        <v>401</v>
      </c>
      <c r="C22" s="622" t="s">
        <v>402</v>
      </c>
      <c r="D22" s="622"/>
      <c r="E22" s="622"/>
      <c r="F22" s="623"/>
      <c r="G22" s="374" t="s">
        <v>401</v>
      </c>
      <c r="H22" s="379">
        <v>7.4999999999999997E-3</v>
      </c>
      <c r="I22" s="380">
        <v>8.5000000000000006E-3</v>
      </c>
      <c r="J22" s="381">
        <v>9.4999999999999998E-3</v>
      </c>
      <c r="K22" s="373"/>
    </row>
    <row r="23" spans="1:11" ht="15.75" x14ac:dyDescent="0.25">
      <c r="A23" s="373"/>
      <c r="B23" s="624" t="s">
        <v>403</v>
      </c>
      <c r="C23" s="652" t="s">
        <v>404</v>
      </c>
      <c r="D23" s="652"/>
      <c r="E23" s="652"/>
      <c r="F23" s="653"/>
      <c r="G23" s="374" t="s">
        <v>403</v>
      </c>
      <c r="H23" s="379">
        <v>6.8999999999999999E-3</v>
      </c>
      <c r="I23" s="380">
        <v>8.5000000000000006E-3</v>
      </c>
      <c r="J23" s="381">
        <v>0.01</v>
      </c>
      <c r="K23" s="373"/>
    </row>
    <row r="24" spans="1:11" ht="15.75" x14ac:dyDescent="0.25">
      <c r="A24" s="373"/>
      <c r="B24" s="624"/>
      <c r="C24" s="652" t="s">
        <v>405</v>
      </c>
      <c r="D24" s="652"/>
      <c r="E24" s="652"/>
      <c r="F24" s="653"/>
      <c r="G24" s="374" t="s">
        <v>406</v>
      </c>
      <c r="H24" s="379">
        <v>3.7000000000000002E-3</v>
      </c>
      <c r="I24" s="380">
        <v>4.7999999999999996E-3</v>
      </c>
      <c r="J24" s="381">
        <v>5.7999999999999996E-3</v>
      </c>
      <c r="K24" s="373"/>
    </row>
    <row r="25" spans="1:11" ht="15.75" x14ac:dyDescent="0.25">
      <c r="A25" s="373"/>
      <c r="B25" s="382" t="s">
        <v>407</v>
      </c>
      <c r="C25" s="622" t="s">
        <v>408</v>
      </c>
      <c r="D25" s="622"/>
      <c r="E25" s="622"/>
      <c r="F25" s="623"/>
      <c r="G25" s="374" t="s">
        <v>407</v>
      </c>
      <c r="H25" s="379">
        <v>4.3499999999999997E-2</v>
      </c>
      <c r="I25" s="380">
        <v>5.11E-2</v>
      </c>
      <c r="J25" s="381">
        <v>5.8599999999999999E-2</v>
      </c>
      <c r="K25" s="373"/>
    </row>
    <row r="26" spans="1:11" ht="15.75" x14ac:dyDescent="0.25">
      <c r="A26" s="373"/>
      <c r="B26" s="624" t="s">
        <v>409</v>
      </c>
      <c r="C26" s="625" t="s">
        <v>410</v>
      </c>
      <c r="D26" s="626"/>
      <c r="E26" s="627"/>
      <c r="F26" s="383"/>
      <c r="G26" s="628" t="s">
        <v>411</v>
      </c>
      <c r="H26" s="629"/>
      <c r="I26" s="629"/>
      <c r="J26" s="630"/>
      <c r="K26" s="373"/>
    </row>
    <row r="27" spans="1:11" ht="15.75" x14ac:dyDescent="0.25">
      <c r="A27" s="373"/>
      <c r="B27" s="624"/>
      <c r="C27" s="631" t="s">
        <v>412</v>
      </c>
      <c r="D27" s="632"/>
      <c r="E27" s="633"/>
      <c r="F27" s="388">
        <v>0.03</v>
      </c>
      <c r="G27" s="617" t="s">
        <v>413</v>
      </c>
      <c r="H27" s="618">
        <f>(((1+H21+H23+H24))*(1+H22)*(1+H25))/(1-(F26+F27+F28))-1</f>
        <v>0.13261717436429699</v>
      </c>
      <c r="I27" s="620">
        <f>(((1+I21+I23+I24))*(1+I22)*(1+I25))/(1-(F26+F27+F28))-1</f>
        <v>0.15278047942916406</v>
      </c>
      <c r="J27" s="620">
        <f>(((1+J21+J23+J24))*(1+J22)*(1+J25))/(1-(F26+F27+F28))-1</f>
        <v>0.17269406217955385</v>
      </c>
      <c r="K27" s="373"/>
    </row>
    <row r="28" spans="1:11" ht="15.75" x14ac:dyDescent="0.25">
      <c r="A28" s="373"/>
      <c r="B28" s="624"/>
      <c r="C28" s="631" t="s">
        <v>414</v>
      </c>
      <c r="D28" s="632"/>
      <c r="E28" s="633"/>
      <c r="F28" s="388">
        <v>6.4999999999999997E-3</v>
      </c>
      <c r="G28" s="617"/>
      <c r="H28" s="619"/>
      <c r="I28" s="621"/>
      <c r="J28" s="621"/>
      <c r="K28" s="373"/>
    </row>
    <row r="29" spans="1:11" ht="15.75" x14ac:dyDescent="0.25">
      <c r="A29" s="373"/>
      <c r="B29" s="624"/>
      <c r="C29" s="634" t="s">
        <v>415</v>
      </c>
      <c r="D29" s="635"/>
      <c r="E29" s="636"/>
      <c r="F29" s="389">
        <v>4.4999999999999998E-2</v>
      </c>
      <c r="G29" s="637" t="s">
        <v>416</v>
      </c>
      <c r="H29" s="638"/>
      <c r="I29" s="639"/>
      <c r="J29" s="640"/>
      <c r="K29" s="373"/>
    </row>
    <row r="30" spans="1:11" ht="15.75" x14ac:dyDescent="0.25">
      <c r="A30" s="373"/>
      <c r="B30" s="611"/>
      <c r="C30" s="612"/>
      <c r="D30" s="612"/>
      <c r="E30" s="612"/>
      <c r="F30" s="613"/>
      <c r="G30" s="617" t="s">
        <v>413</v>
      </c>
      <c r="H30" s="618">
        <f>(((1+(H21+H23+H24))*(1+H22)*(1+H25))/(1-(F26+F27+F28+F29)))-1</f>
        <v>0.18810740065323928</v>
      </c>
      <c r="I30" s="620">
        <f>(((1+(I21+I23+I24))*(1+I22)*(1+I25))/(1-(F26+F27+F28+F29)))-1</f>
        <v>0.20925856497550344</v>
      </c>
      <c r="J30" s="620">
        <f>(((1+(J21+J23+J24))*(1+J22)*(1+J25))/(1-(F26+F27+F28+F29)))-1</f>
        <v>0.23014777235710393</v>
      </c>
      <c r="K30" s="373"/>
    </row>
    <row r="31" spans="1:11" ht="16.5" thickBot="1" x14ac:dyDescent="0.3">
      <c r="A31" s="373"/>
      <c r="B31" s="614"/>
      <c r="C31" s="615"/>
      <c r="D31" s="615"/>
      <c r="E31" s="615"/>
      <c r="F31" s="616"/>
      <c r="G31" s="617"/>
      <c r="H31" s="619"/>
      <c r="I31" s="621"/>
      <c r="J31" s="621"/>
      <c r="K31" s="373"/>
    </row>
    <row r="32" spans="1:11" ht="15.75" x14ac:dyDescent="0.25">
      <c r="A32" s="386"/>
      <c r="B32" s="386"/>
      <c r="C32" s="386"/>
      <c r="D32" s="386"/>
      <c r="E32" s="386"/>
      <c r="F32" s="386"/>
      <c r="G32" s="386"/>
      <c r="H32" s="386"/>
      <c r="I32" s="387"/>
      <c r="J32" s="386"/>
      <c r="K32" s="373"/>
    </row>
    <row r="35" spans="2:9" ht="12.75" customHeight="1" x14ac:dyDescent="0.2">
      <c r="B35" s="610" t="s">
        <v>437</v>
      </c>
      <c r="C35" s="610"/>
      <c r="D35" s="610"/>
      <c r="E35" s="610"/>
      <c r="G35" s="519" t="s">
        <v>438</v>
      </c>
      <c r="H35" s="519"/>
      <c r="I35" s="519"/>
    </row>
    <row r="36" spans="2:9" ht="12.75" customHeight="1" x14ac:dyDescent="0.2">
      <c r="B36" s="610" t="s">
        <v>435</v>
      </c>
      <c r="C36" s="610"/>
      <c r="D36" s="610"/>
      <c r="E36" s="610"/>
      <c r="G36" s="519" t="s">
        <v>439</v>
      </c>
      <c r="H36" s="519"/>
      <c r="I36" s="519"/>
    </row>
    <row r="37" spans="2:9" ht="12.75" customHeight="1" x14ac:dyDescent="0.2">
      <c r="B37" s="610" t="s">
        <v>441</v>
      </c>
      <c r="C37" s="610"/>
      <c r="D37" s="610"/>
      <c r="E37" s="610"/>
      <c r="G37" s="519" t="s">
        <v>440</v>
      </c>
      <c r="H37" s="519"/>
      <c r="I37" s="519"/>
    </row>
    <row r="38" spans="2:9" ht="12.75" customHeight="1" x14ac:dyDescent="0.2">
      <c r="B38" s="610" t="s">
        <v>436</v>
      </c>
      <c r="C38" s="610"/>
      <c r="D38" s="610"/>
      <c r="E38" s="610"/>
    </row>
    <row r="46" spans="2:9" x14ac:dyDescent="0.2">
      <c r="G46">
        <f>(((1+H4+H6+H7)*(1+H5)*(1+H8))/(1-(SUM(F9:F11))))-1</f>
        <v>0.23500895531034471</v>
      </c>
      <c r="H46">
        <f>(((1+I4+I6+I7)*(1+I5)*(1+I8))/(1-(SUM(F9:F11))))-1</f>
        <v>0.27575215640503536</v>
      </c>
      <c r="I46">
        <f>(((1+J4+J6+J7)*(1+J5)*(1+J8))/(1-(SUM(F9:F11))))-1</f>
        <v>0.32307102528735676</v>
      </c>
    </row>
    <row r="47" spans="2:9" x14ac:dyDescent="0.2">
      <c r="G47">
        <f>(((1+H4+H6+H7)*(1+H5)*(1+H8))/(1-(SUM(F9:F12))))-1</f>
        <v>0.29899905662176152</v>
      </c>
      <c r="H47">
        <f>(((1+I4+I6+I7)*(1+I5)*(1+I8))/(1-(SUM(F9:F12))))-1</f>
        <v>0.34185330440529627</v>
      </c>
      <c r="I47">
        <f>(((1+J4+J6+J7)*(1+J5)*(1+J8))/(1-(SUM(F9:F12))))-1</f>
        <v>0.39162392815198643</v>
      </c>
    </row>
    <row r="51" spans="4:9" ht="15.75" x14ac:dyDescent="0.25">
      <c r="D51" s="610"/>
      <c r="E51" s="610"/>
      <c r="F51" s="329"/>
      <c r="G51" s="519"/>
      <c r="H51" s="519"/>
      <c r="I51" s="519"/>
    </row>
    <row r="52" spans="4:9" ht="15.75" x14ac:dyDescent="0.25">
      <c r="D52" s="610"/>
      <c r="E52" s="610"/>
      <c r="F52" s="329"/>
      <c r="G52" s="519"/>
      <c r="H52" s="519"/>
      <c r="I52" s="519"/>
    </row>
    <row r="53" spans="4:9" ht="15.75" x14ac:dyDescent="0.25">
      <c r="D53" s="610"/>
      <c r="E53" s="610"/>
      <c r="F53" s="329"/>
      <c r="G53" s="519"/>
      <c r="H53" s="519"/>
      <c r="I53" s="519"/>
    </row>
    <row r="54" spans="4:9" ht="15.75" x14ac:dyDescent="0.25">
      <c r="D54" s="610"/>
      <c r="E54" s="610"/>
      <c r="F54" s="329"/>
      <c r="G54" s="330"/>
      <c r="H54" s="330"/>
      <c r="I54" s="332"/>
    </row>
    <row r="55" spans="4:9" ht="15.75" x14ac:dyDescent="0.25">
      <c r="D55" s="342"/>
      <c r="E55" s="328"/>
      <c r="F55" s="329"/>
      <c r="G55" s="330"/>
      <c r="H55" s="330"/>
      <c r="I55" s="332"/>
    </row>
  </sheetData>
  <mergeCells count="64">
    <mergeCell ref="B6:B7"/>
    <mergeCell ref="C6:F6"/>
    <mergeCell ref="C7:F7"/>
    <mergeCell ref="B2:B3"/>
    <mergeCell ref="C2:F3"/>
    <mergeCell ref="G2:J2"/>
    <mergeCell ref="C4:F4"/>
    <mergeCell ref="C5:F5"/>
    <mergeCell ref="B23:B24"/>
    <mergeCell ref="C23:F23"/>
    <mergeCell ref="C24:F24"/>
    <mergeCell ref="C12:E12"/>
    <mergeCell ref="B13:F14"/>
    <mergeCell ref="C21:F21"/>
    <mergeCell ref="C22:F22"/>
    <mergeCell ref="C8:F8"/>
    <mergeCell ref="B9:B12"/>
    <mergeCell ref="C9:E9"/>
    <mergeCell ref="G13:G14"/>
    <mergeCell ref="H13:H14"/>
    <mergeCell ref="G12:J12"/>
    <mergeCell ref="G9:J9"/>
    <mergeCell ref="C10:E10"/>
    <mergeCell ref="G10:G11"/>
    <mergeCell ref="H10:H11"/>
    <mergeCell ref="I10:I11"/>
    <mergeCell ref="J10:J11"/>
    <mergeCell ref="C11:E11"/>
    <mergeCell ref="I13:I14"/>
    <mergeCell ref="J13:J14"/>
    <mergeCell ref="B19:B20"/>
    <mergeCell ref="C19:F20"/>
    <mergeCell ref="G19:J19"/>
    <mergeCell ref="C25:F25"/>
    <mergeCell ref="B26:B29"/>
    <mergeCell ref="C26:E26"/>
    <mergeCell ref="G26:J26"/>
    <mergeCell ref="C27:E27"/>
    <mergeCell ref="G27:G28"/>
    <mergeCell ref="H27:H28"/>
    <mergeCell ref="I27:I28"/>
    <mergeCell ref="J27:J28"/>
    <mergeCell ref="C28:E28"/>
    <mergeCell ref="C29:E29"/>
    <mergeCell ref="G29:J29"/>
    <mergeCell ref="B30:F31"/>
    <mergeCell ref="G30:G31"/>
    <mergeCell ref="H30:H31"/>
    <mergeCell ref="I30:I31"/>
    <mergeCell ref="J30:J31"/>
    <mergeCell ref="D53:E53"/>
    <mergeCell ref="G53:I53"/>
    <mergeCell ref="D54:E54"/>
    <mergeCell ref="G35:I35"/>
    <mergeCell ref="G36:I36"/>
    <mergeCell ref="G37:I37"/>
    <mergeCell ref="B35:E35"/>
    <mergeCell ref="B36:E36"/>
    <mergeCell ref="B37:E37"/>
    <mergeCell ref="B38:E38"/>
    <mergeCell ref="D51:E51"/>
    <mergeCell ref="G51:I51"/>
    <mergeCell ref="D52:E52"/>
    <mergeCell ref="G52:I5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27" sqref="B27"/>
    </sheetView>
  </sheetViews>
  <sheetFormatPr defaultRowHeight="12.75" x14ac:dyDescent="0.2"/>
  <cols>
    <col min="2" max="2" width="51.5703125" bestFit="1" customWidth="1"/>
    <col min="9" max="9" width="7.7109375" customWidth="1"/>
    <col min="10" max="10" width="9.85546875" hidden="1" customWidth="1"/>
  </cols>
  <sheetData>
    <row r="1" spans="1:10" ht="14.25" x14ac:dyDescent="0.2">
      <c r="A1" s="264"/>
      <c r="B1" s="265"/>
      <c r="C1" s="266"/>
      <c r="D1" s="267"/>
      <c r="E1" s="267"/>
      <c r="F1" s="89"/>
      <c r="G1" s="89"/>
      <c r="H1" s="412"/>
    </row>
    <row r="2" spans="1:10" ht="18.75" customHeight="1" x14ac:dyDescent="0.2">
      <c r="A2" s="532" t="s">
        <v>392</v>
      </c>
      <c r="B2" s="533"/>
      <c r="C2" s="533"/>
      <c r="D2" s="533"/>
      <c r="E2" s="533"/>
      <c r="F2" s="533"/>
      <c r="G2" s="533"/>
      <c r="H2" s="534"/>
    </row>
    <row r="3" spans="1:10" ht="19.5" thickBot="1" x14ac:dyDescent="0.35">
      <c r="A3" s="413"/>
      <c r="B3" s="414"/>
      <c r="C3" s="415"/>
      <c r="D3" s="416"/>
      <c r="E3" s="416"/>
      <c r="F3" s="147"/>
      <c r="G3" s="147"/>
      <c r="H3" s="149"/>
    </row>
    <row r="4" spans="1:10" ht="18.75" customHeight="1" x14ac:dyDescent="0.2">
      <c r="A4" s="672" t="s">
        <v>424</v>
      </c>
      <c r="B4" s="673"/>
      <c r="C4" s="673"/>
      <c r="D4" s="673"/>
      <c r="E4" s="673"/>
      <c r="F4" s="673"/>
      <c r="G4" s="673"/>
      <c r="H4" s="674"/>
    </row>
    <row r="5" spans="1:10" ht="14.25" x14ac:dyDescent="0.2">
      <c r="A5" s="269"/>
      <c r="B5" s="240"/>
      <c r="C5" s="254"/>
      <c r="D5" s="246"/>
      <c r="E5" s="246"/>
      <c r="F5" s="87"/>
      <c r="G5" s="87"/>
      <c r="H5" s="146"/>
    </row>
    <row r="6" spans="1:10" ht="12.75" customHeight="1" x14ac:dyDescent="0.2">
      <c r="A6" s="677" t="s">
        <v>1</v>
      </c>
      <c r="B6" s="678"/>
      <c r="C6" s="678"/>
      <c r="D6" s="678"/>
      <c r="E6" s="675" t="s">
        <v>418</v>
      </c>
      <c r="F6" s="675"/>
      <c r="G6" s="675"/>
      <c r="H6" s="676"/>
    </row>
    <row r="7" spans="1:10" x14ac:dyDescent="0.2">
      <c r="A7" s="677" t="s">
        <v>0</v>
      </c>
      <c r="B7" s="678"/>
      <c r="C7" s="678"/>
      <c r="D7" s="678"/>
      <c r="E7" s="675" t="s">
        <v>419</v>
      </c>
      <c r="F7" s="675"/>
      <c r="G7" s="675"/>
      <c r="H7" s="676"/>
    </row>
    <row r="8" spans="1:10" ht="12.75" customHeight="1" x14ac:dyDescent="0.2">
      <c r="A8" s="679" t="s">
        <v>490</v>
      </c>
      <c r="B8" s="680"/>
      <c r="C8" s="680"/>
      <c r="D8" s="680"/>
      <c r="E8" s="661" t="s">
        <v>443</v>
      </c>
      <c r="F8" s="661"/>
      <c r="G8" s="661"/>
      <c r="H8" s="662"/>
    </row>
    <row r="9" spans="1:10" ht="15" customHeight="1" x14ac:dyDescent="0.2">
      <c r="A9" s="679"/>
      <c r="B9" s="680"/>
      <c r="C9" s="680"/>
      <c r="D9" s="680"/>
      <c r="E9" s="681"/>
      <c r="F9" s="681"/>
      <c r="G9" s="681"/>
      <c r="H9" s="682"/>
    </row>
    <row r="10" spans="1:10" ht="3" customHeight="1" x14ac:dyDescent="0.2">
      <c r="A10" s="451"/>
      <c r="B10" s="87"/>
      <c r="C10" s="87"/>
      <c r="D10" s="87"/>
      <c r="E10" s="87"/>
      <c r="F10" s="87"/>
      <c r="G10" s="87"/>
      <c r="H10" s="146"/>
    </row>
    <row r="11" spans="1:10" hidden="1" x14ac:dyDescent="0.2">
      <c r="A11" s="451"/>
      <c r="B11" s="87"/>
      <c r="C11" s="87"/>
      <c r="D11" s="87"/>
      <c r="E11" s="87"/>
      <c r="F11" s="87"/>
      <c r="G11" s="87"/>
      <c r="H11" s="146"/>
    </row>
    <row r="12" spans="1:10" x14ac:dyDescent="0.2">
      <c r="A12" s="665" t="s">
        <v>189</v>
      </c>
      <c r="B12" s="666" t="s">
        <v>425</v>
      </c>
      <c r="C12" s="669" t="s">
        <v>426</v>
      </c>
      <c r="D12" s="670"/>
      <c r="E12" s="670"/>
      <c r="F12" s="670"/>
      <c r="G12" s="670"/>
      <c r="H12" s="671"/>
    </row>
    <row r="13" spans="1:10" x14ac:dyDescent="0.2">
      <c r="A13" s="665"/>
      <c r="B13" s="666"/>
      <c r="C13" s="391" t="s">
        <v>427</v>
      </c>
      <c r="D13" s="391" t="s">
        <v>428</v>
      </c>
      <c r="E13" s="391" t="s">
        <v>429</v>
      </c>
      <c r="F13" s="391" t="s">
        <v>432</v>
      </c>
      <c r="G13" s="391" t="s">
        <v>433</v>
      </c>
      <c r="H13" s="392" t="s">
        <v>434</v>
      </c>
    </row>
    <row r="14" spans="1:10" x14ac:dyDescent="0.2">
      <c r="A14" s="393" t="str">
        <f>[8]RESUMO!B15</f>
        <v>01</v>
      </c>
      <c r="B14" s="400" t="str">
        <f>RESUMO!C15</f>
        <v>INSTALAÇÕES PRELIMINARES E CANTEIRO DE OBRAS</v>
      </c>
      <c r="C14" s="394">
        <f>RESUMO!G15</f>
        <v>6.1542699506183539E-2</v>
      </c>
      <c r="D14" s="394"/>
      <c r="E14" s="394"/>
      <c r="F14" s="399"/>
      <c r="G14" s="399"/>
      <c r="H14" s="407"/>
      <c r="J14" s="398">
        <v>1762.38</v>
      </c>
    </row>
    <row r="15" spans="1:10" x14ac:dyDescent="0.2">
      <c r="A15" s="393" t="str">
        <f>[8]RESUMO!B16</f>
        <v>02</v>
      </c>
      <c r="B15" s="400" t="str">
        <f>RESUMO!C16</f>
        <v>COMUNIDADE BOA VISTA DO PACUÍ</v>
      </c>
      <c r="C15" s="394">
        <f>RESUMO!G16/2</f>
        <v>0.13087420629544033</v>
      </c>
      <c r="D15" s="401">
        <f>RESUMO!G16/2</f>
        <v>0.13087420629544033</v>
      </c>
      <c r="E15" s="401"/>
      <c r="F15" s="401"/>
      <c r="G15" s="401"/>
      <c r="H15" s="408"/>
      <c r="J15" s="238">
        <v>255093.69</v>
      </c>
    </row>
    <row r="16" spans="1:10" x14ac:dyDescent="0.2">
      <c r="A16" s="393" t="str">
        <f>[8]RESUMO!B17</f>
        <v>03</v>
      </c>
      <c r="B16" s="400" t="str">
        <f>RESUMO!C17</f>
        <v xml:space="preserve">COMUNIDADE SANTA LÚZIA </v>
      </c>
      <c r="C16" s="395"/>
      <c r="D16" s="401"/>
      <c r="E16" s="401">
        <f>RESUMO!G17/2</f>
        <v>0.17437779157789385</v>
      </c>
      <c r="F16" s="401">
        <f>RESUMO!G17/2</f>
        <v>0.17437779157789385</v>
      </c>
      <c r="G16" s="401"/>
      <c r="H16" s="408"/>
      <c r="J16" s="238">
        <v>296199.23</v>
      </c>
    </row>
    <row r="17" spans="1:10" ht="13.5" thickBot="1" x14ac:dyDescent="0.25">
      <c r="A17" s="393" t="str">
        <f>[8]RESUMO!B18</f>
        <v>04</v>
      </c>
      <c r="B17" s="402" t="str">
        <f>RESUMO!C18</f>
        <v>DISTRITO SÃO ROBERTO DE MINAS</v>
      </c>
      <c r="C17" s="403"/>
      <c r="D17" s="404"/>
      <c r="E17" s="404"/>
      <c r="F17" s="404">
        <f>RESUMO!G18/3</f>
        <v>0.10931776824904939</v>
      </c>
      <c r="G17" s="404">
        <f>RESUMO!G18/3</f>
        <v>0.10931776824904939</v>
      </c>
      <c r="H17" s="409">
        <f>RESUMO!G18/3</f>
        <v>0.10931776824904939</v>
      </c>
      <c r="J17" s="238">
        <v>266340.59000000003</v>
      </c>
    </row>
    <row r="18" spans="1:10" ht="13.5" thickBot="1" x14ac:dyDescent="0.25">
      <c r="A18" s="667" t="s">
        <v>430</v>
      </c>
      <c r="B18" s="668"/>
      <c r="C18" s="410">
        <f>SUM(C14:C17)</f>
        <v>0.19241690580162388</v>
      </c>
      <c r="D18" s="410">
        <f>SUM(D14:D17)</f>
        <v>0.13087420629544033</v>
      </c>
      <c r="E18" s="410">
        <f>SUM(E14:E17)</f>
        <v>0.17437779157789385</v>
      </c>
      <c r="F18" s="410">
        <f t="shared" ref="F18:H18" si="0">SUM(F14:F17)</f>
        <v>0.28369555982694322</v>
      </c>
      <c r="G18" s="410">
        <f t="shared" si="0"/>
        <v>0.10931776824904939</v>
      </c>
      <c r="H18" s="411">
        <f t="shared" si="0"/>
        <v>0.10931776824904939</v>
      </c>
    </row>
    <row r="19" spans="1:10" ht="13.5" thickBot="1" x14ac:dyDescent="0.25">
      <c r="A19" s="663" t="s">
        <v>431</v>
      </c>
      <c r="B19" s="664"/>
      <c r="C19" s="405">
        <f>C18</f>
        <v>0.19241690580162388</v>
      </c>
      <c r="D19" s="405">
        <f>D18+C19</f>
        <v>0.32329111209706418</v>
      </c>
      <c r="E19" s="405">
        <f>E18+D19</f>
        <v>0.49766890367495803</v>
      </c>
      <c r="F19" s="405">
        <f t="shared" ref="F19:H19" si="1">F18+E19</f>
        <v>0.78136446350190125</v>
      </c>
      <c r="G19" s="405">
        <f t="shared" si="1"/>
        <v>0.89068223175095063</v>
      </c>
      <c r="H19" s="406">
        <f t="shared" si="1"/>
        <v>1</v>
      </c>
    </row>
    <row r="20" spans="1:10" x14ac:dyDescent="0.2">
      <c r="A20" s="451"/>
      <c r="B20" s="87"/>
      <c r="C20" s="87"/>
      <c r="D20" s="87"/>
      <c r="E20" s="87"/>
      <c r="F20" s="87"/>
      <c r="G20" s="87"/>
      <c r="H20" s="146"/>
    </row>
    <row r="21" spans="1:10" x14ac:dyDescent="0.2">
      <c r="A21" s="451"/>
      <c r="B21" s="436" t="s">
        <v>442</v>
      </c>
      <c r="C21" s="545" t="s">
        <v>438</v>
      </c>
      <c r="D21" s="545"/>
      <c r="E21" s="545"/>
      <c r="F21" s="545"/>
      <c r="G21" s="545"/>
      <c r="H21" s="660"/>
    </row>
    <row r="22" spans="1:10" x14ac:dyDescent="0.2">
      <c r="A22" s="451"/>
      <c r="B22" s="436" t="s">
        <v>435</v>
      </c>
      <c r="C22" s="545" t="s">
        <v>439</v>
      </c>
      <c r="D22" s="545"/>
      <c r="E22" s="545"/>
      <c r="F22" s="545"/>
      <c r="G22" s="545"/>
      <c r="H22" s="660"/>
    </row>
    <row r="23" spans="1:10" x14ac:dyDescent="0.2">
      <c r="A23" s="451"/>
      <c r="B23" s="436" t="s">
        <v>441</v>
      </c>
      <c r="C23" s="545" t="s">
        <v>440</v>
      </c>
      <c r="D23" s="545"/>
      <c r="E23" s="545"/>
      <c r="F23" s="545"/>
      <c r="G23" s="545"/>
      <c r="H23" s="660"/>
    </row>
    <row r="24" spans="1:10" x14ac:dyDescent="0.2">
      <c r="A24" s="451"/>
      <c r="B24" s="436" t="s">
        <v>436</v>
      </c>
      <c r="C24" s="438"/>
      <c r="D24" s="438"/>
      <c r="E24" s="438"/>
      <c r="F24" s="87"/>
      <c r="G24" s="87"/>
      <c r="H24" s="146"/>
    </row>
    <row r="25" spans="1:10" ht="13.5" thickBot="1" x14ac:dyDescent="0.25">
      <c r="A25" s="452"/>
      <c r="B25" s="147"/>
      <c r="C25" s="147"/>
      <c r="D25" s="147"/>
      <c r="E25" s="147"/>
      <c r="F25" s="147"/>
      <c r="G25" s="147"/>
      <c r="H25" s="149"/>
    </row>
  </sheetData>
  <mergeCells count="17">
    <mergeCell ref="E9:H9"/>
    <mergeCell ref="C21:H21"/>
    <mergeCell ref="C22:H22"/>
    <mergeCell ref="C23:H23"/>
    <mergeCell ref="A2:H2"/>
    <mergeCell ref="E8:H8"/>
    <mergeCell ref="A19:B19"/>
    <mergeCell ref="A12:A13"/>
    <mergeCell ref="B12:B13"/>
    <mergeCell ref="A18:B18"/>
    <mergeCell ref="C12:H12"/>
    <mergeCell ref="A4:H4"/>
    <mergeCell ref="E6:H6"/>
    <mergeCell ref="E7:H7"/>
    <mergeCell ref="A6:D6"/>
    <mergeCell ref="A7:D7"/>
    <mergeCell ref="A8:D9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RESUMO</vt:lpstr>
      <vt:lpstr>SERVIÇOS</vt:lpstr>
      <vt:lpstr>Cronograma</vt:lpstr>
      <vt:lpstr>Para word 1</vt:lpstr>
      <vt:lpstr>Para word 2</vt:lpstr>
      <vt:lpstr>Cron barras</vt:lpstr>
      <vt:lpstr>Resumo interceptor</vt:lpstr>
      <vt:lpstr>Interceptor(mão-de-obra)</vt:lpstr>
      <vt:lpstr>Interceptor (materiais)</vt:lpstr>
      <vt:lpstr>COMPOSIÇÕES</vt:lpstr>
      <vt:lpstr>BDI</vt:lpstr>
      <vt:lpstr>FISIC-FINANCEIRO GERAL</vt:lpstr>
      <vt:lpstr>BDI!Area_de_impressao</vt:lpstr>
      <vt:lpstr>COMPOSIÇÕES!Area_de_impressao</vt:lpstr>
      <vt:lpstr>'Cron barras'!Area_de_impressao</vt:lpstr>
      <vt:lpstr>Cronograma!Area_de_impressao</vt:lpstr>
      <vt:lpstr>'FISIC-FINANCEIRO GERAL'!Area_de_impressao</vt:lpstr>
      <vt:lpstr>RESUMO!Area_de_impressao</vt:lpstr>
      <vt:lpstr>'Resumo interceptor'!Area_de_impressao</vt:lpstr>
      <vt:lpstr>SERVIÇOS!Area_de_impressao</vt:lpstr>
      <vt:lpstr>Cronograma!Titulos_de_impressao</vt:lpstr>
      <vt:lpstr>'Interceptor (materiais)'!Titulos_de_impressao</vt:lpstr>
      <vt:lpstr>'Interceptor(mão-de-obra)'!Titulos_de_impressao</vt:lpstr>
      <vt:lpstr>RESUMO!Titulos_de_impressao</vt:lpstr>
      <vt:lpstr>'Resumo interceptor'!Titulos_de_impressao</vt:lpstr>
      <vt:lpstr>SERVIÇOS!Titulos_de_impressao</vt:lpstr>
    </vt:vector>
  </TitlesOfParts>
  <Company>ESSE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Jeronimo</dc:creator>
  <cp:lastModifiedBy>ENGENHARIA</cp:lastModifiedBy>
  <cp:lastPrinted>2021-08-27T16:22:32Z</cp:lastPrinted>
  <dcterms:created xsi:type="dcterms:W3CDTF">2006-01-20T12:49:43Z</dcterms:created>
  <dcterms:modified xsi:type="dcterms:W3CDTF">2021-09-02T15:06:07Z</dcterms:modified>
</cp:coreProperties>
</file>