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FEITURA\PAVIMENTAÇÃO 2025 - 600 MIL\PLANILHA FINAL\"/>
    </mc:Choice>
  </mc:AlternateContent>
  <xr:revisionPtr revIDLastSave="0" documentId="13_ncr:1_{11C29A0E-6E74-4BEC-8F5D-AF57F6756406}" xr6:coauthVersionLast="47" xr6:coauthVersionMax="47" xr10:uidLastSave="{00000000-0000-0000-0000-000000000000}"/>
  <bookViews>
    <workbookView xWindow="-120" yWindow="-120" windowWidth="29040" windowHeight="15720" activeTab="3" xr2:uid="{BC7E82ED-24DA-47D3-A3DE-70EA21059675}"/>
  </bookViews>
  <sheets>
    <sheet name="BDI" sheetId="1" r:id="rId1"/>
    <sheet name="ORÇAMENTO" sheetId="2" r:id="rId2"/>
    <sheet name="CRONOGRAMA" sheetId="3" r:id="rId3"/>
    <sheet name="MEMÓRIA DE CÁLCULO" sheetId="5" r:id="rId4"/>
  </sheets>
  <externalReferences>
    <externalReference r:id="rId5"/>
  </externalReferences>
  <definedNames>
    <definedName name="ACOMPANHAMENTO" hidden="1">IF(VALUE([1]MENU!$O$4)=2,"BM","PLE")</definedName>
    <definedName name="_xlnm.Print_Area" localSheetId="0">BDI!$A$1:$L$51</definedName>
    <definedName name="_xlnm.Print_Area" localSheetId="2">CRONOGRAMA!$A$1:$J$24</definedName>
    <definedName name="_xlnm.Print_Area" localSheetId="3">'MEMÓRIA DE CÁLCULO'!$A$1:$P$31</definedName>
    <definedName name="_xlnm.Print_Area" localSheetId="1">ORÇAMENTO!$A$1:$L$36</definedName>
    <definedName name="AUTOEVENTO" hidden="1">#REF!</definedName>
    <definedName name="BDI.Opcao" hidden="1">[1]DADOS!$F$18</definedName>
    <definedName name="BDI.TipoObra" hidden="1">[1]BDI!$A$138:$A$146</definedName>
    <definedName name="CÁLCULO.NúmeroDeFrentes" hidden="1">COLUMN([1]CÁLCULO!$AA$15)-COLUMN([1]CÁLCULO!$Q$15)</definedName>
    <definedName name="CRONO.MaxParc" hidden="1">[1]CRONO!$G65536+[1]CRONO!A1</definedName>
    <definedName name="CRONOPLE.ValorDoEvento" hidden="1">SUMIF([1]CÁLCULO!$M$15:$M$27,[1]CRONOPLE!$B1,OFFSET([1]CÁLCULO!$AA$15:$AA$27,0,[1]CRONOPLE!A$12))</definedName>
    <definedName name="DESONERACAO" hidden="1">IF(OR(Import.Desoneracao="DESONERADO",Import.Desoneracao="SIM"),"SIM","NÃO")</definedName>
    <definedName name="EVENTOS.ListaValidacao" hidden="1">[1]EVENTOS!$B$15:OFFSET([1]EVENTOS!$B$62,-1,0)</definedName>
    <definedName name="Excel_BuiltIn_Database" hidden="1">TEXT(Import.DataBase,"mm-aaaa")</definedName>
    <definedName name="Import.Apelido" hidden="1">[1]DADOS!$F$16</definedName>
    <definedName name="Import.CR" hidden="1">[1]DADOS!$F$7</definedName>
    <definedName name="Import.CTEF" hidden="1">[1]DADOS!$F$36</definedName>
    <definedName name="Import.DataBase" hidden="1">OFFSET([1]DADOS!$G$19,0,-1)</definedName>
    <definedName name="Import.DescLote" hidden="1">[1]DADOS!$F$17</definedName>
    <definedName name="Import.Desoneracao" hidden="1">OFFSET([1]DADOS!$G$18,0,-1)</definedName>
    <definedName name="Import.empresa" hidden="1">[1]DADOS!$F$37</definedName>
    <definedName name="Import.Município" hidden="1">[1]DADOS!$F$6</definedName>
    <definedName name="Import.Proponente" hidden="1">[1]DADOS!$F$5</definedName>
    <definedName name="import.recurso" hidden="1">[1]DADOS!$F$4</definedName>
    <definedName name="Import.RegimeExecução" hidden="1">OFFSET([1]DADOS!$G$39,0,-1)</definedName>
    <definedName name="Import.RespOrçamento" hidden="1">[1]DADOS!$F$22:$F$24</definedName>
    <definedName name="Import.SICONV" hidden="1">[1]DADOS!$F$8</definedName>
    <definedName name="ORÇAMENTO.BancoRef" hidden="1">CRONOGRAMA!#REF!</definedName>
    <definedName name="ORÇAMENTO.CustoUnitario" hidden="1">ROUND(CRONOGRAMA!$S1,15-13*CRONOGRAMA!#REF!)</definedName>
    <definedName name="ORÇAMENTO.PrecoUnitarioLicitado" hidden="1">CRONOGRAMA!$AJ1</definedName>
    <definedName name="REFERENCIA.Descricao" hidden="1">IF(ISNUMBER(CRONOGRAMA!$AD1),OFFSET(INDIRECT(ORÇAMENTO.BancoRef),CRONOGRAMA!$AD1-1,3,1),CRONOGRAMA!$AD1)</definedName>
    <definedName name="REFERENCIA.Unidade" hidden="1">IF(ISNUMBER(CRONOGRAMA!$AD1),OFFSET(INDIRECT(ORÇAMENTO.BancoRef),CRONOGRAMA!$AD1-1,4,1),"-")</definedName>
    <definedName name="SomaAgrup" hidden="1">SUMIF(OFFSET(CRONOGRAMA!#REF!,1,0,CRONOGRAMA!#REF!),"S",OFFSET(CRONOGRAMA!A1,1,0,CRONOGRAMA!#REF!))</definedName>
    <definedName name="TIPOORCAMENTO" hidden="1">IF(VALUE([1]MENU!$O$3)=2,"Licitado","Proposto")</definedName>
    <definedName name="VTOTAL1" hidden="1">ROUND(CRONOGRAMA!$R1*CRONOGRAMA!$U1,15-13*CRONOGRAMA!$AD$9)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4" i="3" s="1"/>
  <c r="H15" i="3"/>
  <c r="H14" i="3" s="1"/>
  <c r="I14" i="3"/>
  <c r="F15" i="3"/>
  <c r="F14" i="3" s="1"/>
  <c r="D9" i="3"/>
  <c r="D10" i="3"/>
  <c r="B6" i="5"/>
  <c r="B5" i="5"/>
  <c r="Q10" i="5"/>
  <c r="E8" i="2"/>
  <c r="B10" i="5" s="1"/>
  <c r="J22" i="2"/>
  <c r="S21" i="5" s="1"/>
  <c r="J21" i="2"/>
  <c r="S20" i="5" s="1"/>
  <c r="U20" i="5" s="1"/>
  <c r="J20" i="2"/>
  <c r="S19" i="5" s="1"/>
  <c r="J18" i="2"/>
  <c r="S17" i="5" s="1"/>
  <c r="J16" i="2"/>
  <c r="J14" i="2"/>
  <c r="S13" i="5" s="1"/>
  <c r="I8" i="2"/>
  <c r="AC14" i="5"/>
  <c r="AC15" i="5"/>
  <c r="AC16" i="5"/>
  <c r="AC18" i="5"/>
  <c r="E13" i="5"/>
  <c r="G14" i="2" s="1"/>
  <c r="C17" i="5"/>
  <c r="C19" i="5"/>
  <c r="C20" i="5"/>
  <c r="C21" i="5"/>
  <c r="C15" i="5"/>
  <c r="C13" i="5"/>
  <c r="C29" i="5"/>
  <c r="B22" i="3"/>
  <c r="B34" i="2"/>
  <c r="C11" i="5"/>
  <c r="G16" i="2"/>
  <c r="J19" i="2"/>
  <c r="F16" i="2"/>
  <c r="I10" i="2"/>
  <c r="H10" i="2"/>
  <c r="B42" i="1"/>
  <c r="C26" i="5" s="1"/>
  <c r="B2" i="1"/>
  <c r="B11" i="2" l="1"/>
  <c r="D5" i="3"/>
  <c r="D6" i="5"/>
  <c r="K14" i="2"/>
  <c r="N14" i="2" s="1"/>
  <c r="Z19" i="5"/>
  <c r="AA17" i="5"/>
  <c r="AB17" i="5"/>
  <c r="Y17" i="5"/>
  <c r="V23" i="5"/>
  <c r="T13" i="5"/>
  <c r="T22" i="5" s="1"/>
  <c r="U23" i="5"/>
  <c r="AB21" i="5"/>
  <c r="W21" i="5"/>
  <c r="U19" i="5"/>
  <c r="V19" i="5"/>
  <c r="W19" i="5"/>
  <c r="U21" i="5"/>
  <c r="V21" i="5"/>
  <c r="U17" i="5"/>
  <c r="U27" i="5" s="1"/>
  <c r="X21" i="5"/>
  <c r="AB23" i="5"/>
  <c r="Y21" i="5"/>
  <c r="Z21" i="5"/>
  <c r="V20" i="5"/>
  <c r="Z23" i="5"/>
  <c r="E21" i="5"/>
  <c r="G22" i="2" s="1"/>
  <c r="Y23" i="5"/>
  <c r="X23" i="5"/>
  <c r="Y20" i="5"/>
  <c r="AA23" i="5"/>
  <c r="AB20" i="5"/>
  <c r="E17" i="5"/>
  <c r="G18" i="2" s="1"/>
  <c r="K18" i="2" s="1"/>
  <c r="R17" i="5" s="1"/>
  <c r="W23" i="5"/>
  <c r="W20" i="5"/>
  <c r="AA19" i="5"/>
  <c r="AB19" i="5"/>
  <c r="Y19" i="5"/>
  <c r="Z20" i="5"/>
  <c r="E20" i="5"/>
  <c r="G21" i="2" s="1"/>
  <c r="X20" i="5"/>
  <c r="AA21" i="5"/>
  <c r="Z17" i="5"/>
  <c r="X19" i="5"/>
  <c r="E19" i="5"/>
  <c r="G20" i="2" s="1"/>
  <c r="W17" i="5"/>
  <c r="V17" i="5"/>
  <c r="X17" i="5"/>
  <c r="B31" i="2"/>
  <c r="B19" i="3"/>
  <c r="Z22" i="5" l="1"/>
  <c r="W22" i="5"/>
  <c r="U28" i="5"/>
  <c r="R13" i="5"/>
  <c r="X22" i="5"/>
  <c r="Y22" i="5"/>
  <c r="AB27" i="5"/>
  <c r="AC13" i="5"/>
  <c r="AC21" i="5"/>
  <c r="AA22" i="5"/>
  <c r="V22" i="5"/>
  <c r="W28" i="5"/>
  <c r="AB22" i="5"/>
  <c r="AC20" i="5"/>
  <c r="K22" i="2"/>
  <c r="R21" i="5" s="1"/>
  <c r="AC19" i="5"/>
  <c r="U22" i="5"/>
  <c r="AB28" i="5"/>
  <c r="K20" i="2"/>
  <c r="K21" i="2"/>
  <c r="R20" i="5" s="1"/>
  <c r="Z27" i="5"/>
  <c r="T23" i="5"/>
  <c r="AC23" i="5" s="1"/>
  <c r="Y27" i="5"/>
  <c r="W27" i="5"/>
  <c r="Y28" i="5"/>
  <c r="AC17" i="5"/>
  <c r="Z28" i="5"/>
  <c r="AD19" i="5"/>
  <c r="S10" i="5"/>
  <c r="K17" i="2"/>
  <c r="D11" i="3" s="1"/>
  <c r="J9" i="5"/>
  <c r="K9" i="5" s="1"/>
  <c r="AC22" i="5" l="1"/>
  <c r="K19" i="2"/>
  <c r="D12" i="3" s="1"/>
  <c r="R19" i="5"/>
  <c r="R10" i="5" s="1"/>
  <c r="AC9" i="5"/>
  <c r="L9" i="5"/>
  <c r="L11" i="3" l="1"/>
  <c r="K13" i="2"/>
  <c r="L12" i="3" l="1"/>
  <c r="K12" i="2"/>
  <c r="K11" i="2" s="1"/>
  <c r="N11" i="2" s="1"/>
  <c r="U10" i="5" l="1"/>
  <c r="D27" i="3"/>
  <c r="F16" i="3" l="1"/>
  <c r="F17" i="3"/>
  <c r="G17" i="3" s="1"/>
  <c r="H17" i="3" s="1"/>
  <c r="I17" i="3" s="1"/>
  <c r="G16" i="3" l="1"/>
  <c r="H16" i="3" s="1"/>
  <c r="I16" i="3" s="1"/>
  <c r="L14" i="3"/>
  <c r="B22" i="2" l="1"/>
  <c r="B19" i="2"/>
  <c r="B14" i="2"/>
  <c r="G19" i="5"/>
  <c r="D19" i="5"/>
  <c r="G21" i="5"/>
  <c r="D21" i="5"/>
  <c r="G20" i="5"/>
  <c r="D20" i="5"/>
  <c r="B16" i="2"/>
  <c r="B18" i="2"/>
  <c r="D13" i="5"/>
  <c r="G13" i="5"/>
  <c r="B13" i="2"/>
  <c r="B20" i="2"/>
  <c r="B15" i="2"/>
  <c r="B12" i="2"/>
  <c r="J12" i="2"/>
  <c r="B17" i="2"/>
  <c r="G17" i="5"/>
  <c r="D17" i="5"/>
  <c r="G15" i="5"/>
  <c r="D15" i="5"/>
</calcChain>
</file>

<file path=xl/sharedStrings.xml><?xml version="1.0" encoding="utf-8"?>
<sst xmlns="http://schemas.openxmlformats.org/spreadsheetml/2006/main" count="221" uniqueCount="147">
  <si>
    <t>Grau de Sigilo</t>
  </si>
  <si>
    <t>#PUBLICO</t>
  </si>
  <si>
    <t>PROPONENTE / TOMADOR</t>
  </si>
  <si>
    <t>Conforme legislação tributária municipal, definir estimativa de percentual da base de cálculo para o ISS:</t>
  </si>
  <si>
    <t>Sobre a base de cálculo, definir a respectiva alíquota do ISS (entre 2% e 5%):</t>
  </si>
  <si>
    <t>BDI 1</t>
  </si>
  <si>
    <t>TIPO DE OBRA</t>
  </si>
  <si>
    <t>Construção de Praças Urbanas, Rodovias, Ferrovias e recapeamento e pavimentação de vias urbanas</t>
  </si>
  <si>
    <t>Itens</t>
  </si>
  <si>
    <t>Siglas</t>
  </si>
  <si>
    <t>% Adotado</t>
  </si>
  <si>
    <t>Tributos (impostos COFINS 3%, e  PIS 0,65%)</t>
  </si>
  <si>
    <t>CP</t>
  </si>
  <si>
    <t>Tributos (ISS, variável de acordo com o município)</t>
  </si>
  <si>
    <t>ISS</t>
  </si>
  <si>
    <t>CPRB</t>
  </si>
  <si>
    <t>BDI SEM desoneração (Fórmula Acórdão TCU)</t>
  </si>
  <si>
    <t>BDI PAD</t>
  </si>
  <si>
    <t>BDI COM desoneração</t>
  </si>
  <si>
    <t>BDI DES</t>
  </si>
  <si>
    <t>Os valores de BDI foram calculados com o emprego da fórmula:</t>
  </si>
  <si>
    <t>BDI =</t>
  </si>
  <si>
    <t xml:space="preserve"> - 1</t>
  </si>
  <si>
    <t>(1-CP-ISS-CRPB)</t>
  </si>
  <si>
    <t>Observações:</t>
  </si>
  <si>
    <t>Local</t>
  </si>
  <si>
    <t>Data</t>
  </si>
  <si>
    <t>Responsável Técnico</t>
  </si>
  <si>
    <t>Nome:</t>
  </si>
  <si>
    <t>CREA/CAU:</t>
  </si>
  <si>
    <t>ART/RRT:</t>
  </si>
  <si>
    <t>Prefeitura Municipal de São João da Lagoa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</si>
  <si>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</si>
  <si>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</si>
  <si>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</si>
  <si>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</si>
  <si>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</si>
  <si>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</si>
  <si>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</si>
  <si>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</si>
  <si>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</si>
  <si>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</si>
  <si>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(1+AC + S + R + G)*(1 + DF)*(1+L)</t>
  </si>
  <si>
    <t>LEONARDO PETERSON AMARAL LIMA</t>
  </si>
  <si>
    <t>331.073/D</t>
  </si>
  <si>
    <t>OBJETO</t>
  </si>
  <si>
    <t xml:space="preserve">EXECUÇÃO DE PAVIMENTAÇÃO EM BLOCO SEXTAVADO DE CONCRETO DE VIAS URBANAS E RURAIS NO MUNICÍPIO DE SÃO JOÃO DA LAGOA/MG </t>
  </si>
  <si>
    <t>Declaro para os devidos fins que, conforme legislação tributária municipal, a base de cálculo deste tipo de obra corresponde à 100%, com a respectiva alíquota de 5%</t>
  </si>
  <si>
    <t>PO - PLANILHA ORÇAMENTÁRIA</t>
  </si>
  <si>
    <t>LOCALIDADE SINAPI</t>
  </si>
  <si>
    <t>DATA BASE</t>
  </si>
  <si>
    <t>Item</t>
  </si>
  <si>
    <t>Fonte</t>
  </si>
  <si>
    <t>Código</t>
  </si>
  <si>
    <t>Descrição</t>
  </si>
  <si>
    <t>Unidade</t>
  </si>
  <si>
    <t>Quantidade</t>
  </si>
  <si>
    <t>Preço Unitário (com BDI) (R$)</t>
  </si>
  <si>
    <t>Preço Total
(R$)</t>
  </si>
  <si>
    <t>SINAPI</t>
  </si>
  <si>
    <t xml:space="preserve">Serviços Iniciais </t>
  </si>
  <si>
    <t>SEINFRA-MG</t>
  </si>
  <si>
    <t>ED-28427</t>
  </si>
  <si>
    <t>Subleito/base</t>
  </si>
  <si>
    <t>A CARGO DA PREFEITURA</t>
  </si>
  <si>
    <t>Pavimentação</t>
  </si>
  <si>
    <t>92394</t>
  </si>
  <si>
    <t>Meio Fio/Drenagem</t>
  </si>
  <si>
    <t>94267</t>
  </si>
  <si>
    <t>94273</t>
  </si>
  <si>
    <t>BELO HORIZONTE</t>
  </si>
  <si>
    <t>0,00%</t>
  </si>
  <si>
    <t>SÃO JOÃO DA LAGOA</t>
  </si>
  <si>
    <t>MUNICÍPIO / UF</t>
  </si>
  <si>
    <t>BDI 2</t>
  </si>
  <si>
    <t>BDI 3</t>
  </si>
  <si>
    <t>Memória de Cálculo</t>
  </si>
  <si>
    <t>1 UNIDADE</t>
  </si>
  <si>
    <t>Agrupador de Eventos</t>
  </si>
  <si>
    <t>TOTAL FINANC. POR FRENTE (R$):</t>
  </si>
  <si>
    <t>FRENTE DE OBRA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</si>
  <si>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</si>
  <si>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EXECUÇÃO DE PAVIMENTO EM PISO INTERTRAVADO, COM BLOCO SEXTAVADO DE 25 X 25 CM, ESPESSURA 8 CM. AF_10/2022</t>
  </si>
  <si>
    <t>GUIA (MEIO-FIO) E SARJETA CONJUGADOS DE CONCRETO, MOLDADA  IN LOCO  EM TRECHO RETO COM EXTRUSORA, 45 CM BASE (15 CM BASE DA GUIA + 30 CM BASE DA SARJETA) X 22 CM ALTURA. AF_01/2024</t>
  </si>
  <si>
    <t>ASSENTAMENTO DE GUIA (MEIO-FIO) EM TRECHO RETO, CONFECCIONADA EM CONCRETO PRÉ-FABRICADO, DIMENSÕES 100X15X13X30 CM (COMPRIMENTO X BASE INFERIOR X BASE SUPERIOR X ALTURA). AF_01/2024</t>
  </si>
  <si>
    <t>PLANILHA DE LEVANTAMENTO DE QUANTIDADES</t>
  </si>
  <si>
    <t>1.</t>
  </si>
  <si>
    <t>Valor (R$)</t>
  </si>
  <si>
    <t>Parcelas:</t>
  </si>
  <si>
    <t>% Período:</t>
  </si>
  <si>
    <t>1.1.</t>
  </si>
  <si>
    <t>1.3.</t>
  </si>
  <si>
    <t>1.4.</t>
  </si>
  <si>
    <t>%:</t>
  </si>
  <si>
    <t>CFF - CRONOGRAMA FÍSICO-FINANCEIRO</t>
  </si>
  <si>
    <t>Período</t>
  </si>
  <si>
    <t>Financeiro</t>
  </si>
  <si>
    <t>Acumulado</t>
  </si>
  <si>
    <t>UNI</t>
  </si>
  <si>
    <t>M²</t>
  </si>
  <si>
    <t>M</t>
  </si>
  <si>
    <t>1.1</t>
  </si>
  <si>
    <t>1.1.1</t>
  </si>
  <si>
    <t>1.2</t>
  </si>
  <si>
    <t>1.2.1</t>
  </si>
  <si>
    <t>1.3</t>
  </si>
  <si>
    <t>1.3.1</t>
  </si>
  <si>
    <t>1.4</t>
  </si>
  <si>
    <t>1.4.1</t>
  </si>
  <si>
    <t>RUA CUNEGUNDES R. DA FONSECA</t>
  </si>
  <si>
    <t>AV. ADÃO DIAS</t>
  </si>
  <si>
    <t>RUA DOMINGOS PEREIRA MIRANDA</t>
  </si>
  <si>
    <t>RUA EUFROSINA ALVES FERREIRA</t>
  </si>
  <si>
    <t>1.4.2</t>
  </si>
  <si>
    <t>94268</t>
  </si>
  <si>
    <t>GUIA (MEIO-FIO) E SARJETA CONJUGADOS DE CONCRETO, MOLDADA  IN LOCO  EM TRECHO CURVO COM EXTRUSORA, 45 CM BASE (15 CM BASE DA GUIA + 30 CM BASE DA SARJETA) X 22 CM ALTURA. AF_01/2024</t>
  </si>
  <si>
    <t>1.4.3</t>
  </si>
  <si>
    <t>TOTAL</t>
  </si>
  <si>
    <t>SOMA(</t>
  </si>
  <si>
    <t>Declaro para os devidos fins que o regime de Contribuição Previdenciária sobre a Receita Bruta adotado para elaboração do orçamento foi DESONERACAO</t>
  </si>
  <si>
    <t>PREFEITURA MUNICIPAL DE SÃO JOÃO DA LAGOA</t>
  </si>
  <si>
    <t>RUA NORCISO CARDOSO DOS SANTOS</t>
  </si>
  <si>
    <t>RUA ROBIM</t>
  </si>
  <si>
    <t>SERVIÇOS PRELIMINARES</t>
  </si>
  <si>
    <t>RUA SÃO PEDRO</t>
  </si>
  <si>
    <t>RUA ADNALDO</t>
  </si>
  <si>
    <t>PAVIMENTAÇÃO</t>
  </si>
  <si>
    <t>MEIO - FIO</t>
  </si>
  <si>
    <t>MÊS 01</t>
  </si>
  <si>
    <t>MÊS 04</t>
  </si>
  <si>
    <t>MÊS 05</t>
  </si>
  <si>
    <t>MÊS 03</t>
  </si>
  <si>
    <t>MÊS 02</t>
  </si>
  <si>
    <t>RUA DOS TINGUIS</t>
  </si>
  <si>
    <t>RUA JAIRO ROMÃO</t>
  </si>
  <si>
    <t xml:space="preserve">Área retirada AUTOCAD: Rua Norciso Cardoso Dos Santos:  754 M²/ Rua Cunegundes R. Da Fonseca: 326,99 M² +14,17M² / Avenida Adão Dias: 358,48 M² +66,09M² / Rua Domingos Pereira Miranda: 159,28+69,49+305,01M² /  Rua Eufrosina Alves Ferreira: 287,75M² / Rua Dos Tinguis: 471,98+146,99+318,17M² / Rua São Pedro: 641,99+14,77M² / Rua Jairo Romão: 771,81M²  </t>
  </si>
  <si>
    <t>MG20254304964</t>
  </si>
  <si>
    <t>Tributos (Contribuição Previdenciária sobre a Receita Bruta - Lei 12.546 de 14/12/2011 - Desoneração)</t>
  </si>
  <si>
    <t>Execução de Pavimentação em blocos sextavados em vias publicas do Distrito de São Roberto de Minas e na Sede, Zona Urbana do município de São João da Lagoa</t>
  </si>
  <si>
    <t>04-25 (DES)</t>
  </si>
  <si>
    <t>Rua Norciso Cardoso Dos Santos: 5M+125,96M+110,87M/  Rua Cunegundes R. Da Fonseca: 43,03M+42,81M+24,27M+27,19M / Avenida Adão Dias: 64,04M+55,49M / Rua Domingos Pereira Miranda: 69,46M+51,14M+29,34M+29M /  Rua Eufrosina Alves Ferreira: 57,94M+57,76M/ Rua Dos Tinguis: 78,95M+79,9M+53,17M+53,83M/ Rua São Pedro:  107,3M+107,3M/ Rua Jairo Romão: 57,57M+57,91M+59,4M+61,94M</t>
  </si>
  <si>
    <t>Rua Cunegundes R. Da Fonseca: 2,04M+2,12M / Rua Domingos Pereira Miranda: 1,87M+2,41M+1,83M/  Rua Dos Tinguis: 5,22M+4,34M+3,9M+3,12M/ Rua São Pedro:  2,58M+1,73M</t>
  </si>
  <si>
    <t>Rua Norciso Cardoso Dos Santos: 6M+6M/  Rua Cunegundes R. Da Fonseca: 5,63M+4,97M/ Avenida Adão Dias: 6,5M+6,5M / Rua Domingos Pereira Miranda: 6M+6M+5,03M/  Rua Eufrosina Alves Ferreira: 5M+5M/ Rua Dos Tinguis: 6M+6M+6M/ Rua São Pedro:  6M+6M/ Rua Jairo Romão: 5,4M+10,79M+6M+10,83M+13,38M</t>
  </si>
  <si>
    <t>Uni.</t>
  </si>
  <si>
    <t>Quant.</t>
  </si>
  <si>
    <t>Pavimentação das vias: Rua Norciso Cardoso dos Santos; Rua Cunegunes R. da Fonseca; Av. Adão Dias; Rua Domingos Pereira Miranda; Rua Eufrosina Alves Ferreira; Rua dos Tinguis; Rua São Pedro; Rua Jairo Romão</t>
  </si>
  <si>
    <t>quinta-feira, 10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</si>
</sst>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&quot;R$ &quot;* #,##0.00_);_(&quot;R$ &quot;* \(#,##0.00\);_(&quot;R$ &quot;* \-??_);_(@_)"/>
    <numFmt numFmtId="165" formatCode="General;General"/>
    <numFmt numFmtId="166" formatCode="[$-F800]dddd\,\ mmmm\ dd\,\ yyyy"/>
    <numFmt numFmtId="167" formatCode="dd&quot; de &quot;mmmm&quot; de &quot;yyyy"/>
    <numFmt numFmtId="168" formatCode="_(* #,##0.00_);_(* \(#,##0.00\);_(* \-??_);_(@_)"/>
    <numFmt numFmtId="169" formatCode="0\."/>
    <numFmt numFmtId="170" formatCode="_-* #,##0.00_-;\-* #,##0.00_-;_-* \-??_-;_-@_-"/>
    <numFmt numFmtId="171" formatCode="_(\ #,##0.00_);_(&quot; (&quot;#,##0.00\);_(&quot; -&quot;??_);_(@_)"/>
    <numFmt numFmtId="172" formatCode="mm/yy"/>
    <numFmt numFmtId="173" formatCode="0.000"/>
    <numFmt numFmtId="174" formatCode="_-* #,##0.000_-;\-* #,##0.000_-;_-* &quot;-&quot;??_-;_-@_-"/>
    <numFmt numFmtId="175" formatCode="0.00000"/>
    <numFmt numFmtId="176" formatCode="#,##0.000"/>
    <numFmt numFmtId="177" formatCode="_(* #,##0.000_);_(* \(#,##0.000\);_(* \-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8"/>
      <name val="Aptos Narrow"/>
      <family val="2"/>
      <scheme val="minor"/>
    </font>
    <font>
      <sz val="10"/>
      <color indexed="9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42"/>
      </patternFill>
    </fill>
    <fill>
      <patternFill patternType="solid">
        <fgColor theme="2" tint="-0.499984740745262"/>
        <bgColor indexed="26"/>
      </patternFill>
    </fill>
    <fill>
      <patternFill patternType="lightUp"/>
    </fill>
    <fill>
      <patternFill patternType="solid">
        <fgColor theme="1" tint="0.34998626667073579"/>
        <bgColor indexed="5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164" fontId="3" fillId="0" borderId="0" applyFill="0" applyBorder="0" applyAlignment="0" applyProtection="0"/>
    <xf numFmtId="0" fontId="17" fillId="0" borderId="0"/>
    <xf numFmtId="170" fontId="3" fillId="0" borderId="0" applyFill="0" applyBorder="0" applyAlignment="0" applyProtection="0"/>
    <xf numFmtId="9" fontId="3" fillId="0" borderId="0" applyFill="0" applyBorder="0" applyAlignment="0" applyProtection="0"/>
  </cellStyleXfs>
  <cellXfs count="250">
    <xf numFmtId="0" fontId="0" fillId="0" borderId="0" xfId="0"/>
    <xf numFmtId="0" fontId="8" fillId="0" borderId="3" xfId="3" applyFont="1" applyBorder="1" applyAlignment="1">
      <alignment horizontal="center" vertical="center"/>
    </xf>
    <xf numFmtId="10" fontId="8" fillId="2" borderId="3" xfId="3" applyNumberFormat="1" applyFont="1" applyFill="1" applyBorder="1" applyAlignment="1" applyProtection="1">
      <alignment horizontal="center" vertical="center"/>
      <protection locked="0"/>
    </xf>
    <xf numFmtId="10" fontId="8" fillId="0" borderId="3" xfId="3" applyNumberFormat="1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10" fontId="7" fillId="4" borderId="3" xfId="3" applyNumberFormat="1" applyFont="1" applyFill="1" applyBorder="1" applyAlignment="1">
      <alignment horizontal="center" vertical="center"/>
    </xf>
    <xf numFmtId="10" fontId="0" fillId="0" borderId="0" xfId="0" applyNumberFormat="1"/>
    <xf numFmtId="0" fontId="0" fillId="5" borderId="0" xfId="3" applyFont="1" applyFill="1" applyAlignment="1">
      <alignment horizontal="center" vertical="top"/>
    </xf>
    <xf numFmtId="0" fontId="11" fillId="5" borderId="0" xfId="3" applyFont="1" applyFill="1" applyAlignment="1">
      <alignment horizontal="center" vertical="top"/>
    </xf>
    <xf numFmtId="0" fontId="0" fillId="5" borderId="0" xfId="3" applyFont="1" applyFill="1"/>
    <xf numFmtId="167" fontId="0" fillId="5" borderId="0" xfId="3" applyNumberFormat="1" applyFont="1" applyFill="1"/>
    <xf numFmtId="0" fontId="5" fillId="5" borderId="5" xfId="3" applyFont="1" applyFill="1" applyBorder="1" applyAlignment="1">
      <alignment horizontal="left"/>
    </xf>
    <xf numFmtId="0" fontId="0" fillId="5" borderId="5" xfId="3" applyFont="1" applyFill="1" applyBorder="1"/>
    <xf numFmtId="0" fontId="8" fillId="5" borderId="0" xfId="3" applyFont="1" applyFill="1"/>
    <xf numFmtId="0" fontId="5" fillId="5" borderId="0" xfId="4" applyFont="1" applyFill="1" applyAlignment="1">
      <alignment horizontal="left" vertical="top"/>
    </xf>
    <xf numFmtId="0" fontId="6" fillId="5" borderId="0" xfId="3" applyFont="1" applyFill="1" applyAlignment="1">
      <alignment horizontal="left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0" xfId="3" applyFont="1" applyFill="1"/>
    <xf numFmtId="0" fontId="0" fillId="5" borderId="10" xfId="0" applyFill="1" applyBorder="1"/>
    <xf numFmtId="0" fontId="0" fillId="5" borderId="12" xfId="0" applyFill="1" applyBorder="1"/>
    <xf numFmtId="0" fontId="0" fillId="5" borderId="11" xfId="0" applyFill="1" applyBorder="1"/>
    <xf numFmtId="0" fontId="0" fillId="5" borderId="14" xfId="0" applyFill="1" applyBorder="1"/>
    <xf numFmtId="0" fontId="0" fillId="5" borderId="13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8" borderId="8" xfId="0" applyFill="1" applyBorder="1"/>
    <xf numFmtId="0" fontId="0" fillId="8" borderId="4" xfId="0" applyFill="1" applyBorder="1"/>
    <xf numFmtId="0" fontId="0" fillId="8" borderId="9" xfId="0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49" fontId="5" fillId="7" borderId="19" xfId="0" applyNumberFormat="1" applyFont="1" applyFill="1" applyBorder="1" applyAlignment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/>
    </xf>
    <xf numFmtId="10" fontId="5" fillId="7" borderId="19" xfId="2" applyNumberFormat="1" applyFont="1" applyFill="1" applyBorder="1" applyAlignment="1" applyProtection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 shrinkToFit="1"/>
    </xf>
    <xf numFmtId="0" fontId="2" fillId="12" borderId="19" xfId="0" applyFont="1" applyFill="1" applyBorder="1" applyAlignment="1">
      <alignment vertical="center" wrapText="1" shrinkToFit="1"/>
    </xf>
    <xf numFmtId="49" fontId="2" fillId="13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19" xfId="0" applyFont="1" applyFill="1" applyBorder="1" applyAlignment="1" applyProtection="1">
      <alignment horizontal="left" vertical="center" wrapText="1"/>
      <protection locked="0"/>
    </xf>
    <xf numFmtId="0" fontId="2" fillId="14" borderId="19" xfId="0" applyFont="1" applyFill="1" applyBorder="1" applyAlignment="1" applyProtection="1">
      <alignment horizontal="center" vertical="center" wrapText="1"/>
      <protection locked="0"/>
    </xf>
    <xf numFmtId="168" fontId="2" fillId="12" borderId="19" xfId="1" applyNumberFormat="1" applyFont="1" applyFill="1" applyBorder="1" applyAlignment="1" applyProtection="1">
      <alignment vertical="center" shrinkToFit="1"/>
    </xf>
    <xf numFmtId="43" fontId="2" fillId="14" borderId="19" xfId="1" applyFont="1" applyFill="1" applyBorder="1" applyAlignment="1" applyProtection="1">
      <alignment vertical="center" wrapText="1"/>
      <protection locked="0"/>
    </xf>
    <xf numFmtId="10" fontId="2" fillId="13" borderId="19" xfId="2" applyNumberFormat="1" applyFont="1" applyFill="1" applyBorder="1" applyAlignment="1" applyProtection="1">
      <alignment horizontal="center" vertical="center" wrapText="1"/>
      <protection locked="0"/>
    </xf>
    <xf numFmtId="168" fontId="2" fillId="12" borderId="19" xfId="1" applyNumberFormat="1" applyFont="1" applyFill="1" applyBorder="1" applyAlignment="1" applyProtection="1">
      <alignment horizontal="center" vertical="center" shrinkToFit="1"/>
    </xf>
    <xf numFmtId="0" fontId="2" fillId="9" borderId="19" xfId="0" applyFont="1" applyFill="1" applyBorder="1" applyAlignment="1">
      <alignment vertical="center" wrapText="1" shrinkToFit="1"/>
    </xf>
    <xf numFmtId="49" fontId="2" fillId="10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11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19" xfId="0" applyFont="1" applyFill="1" applyBorder="1" applyAlignment="1" applyProtection="1">
      <alignment horizontal="left" vertical="center" wrapText="1"/>
      <protection locked="0"/>
    </xf>
    <xf numFmtId="0" fontId="2" fillId="11" borderId="19" xfId="0" applyFont="1" applyFill="1" applyBorder="1" applyAlignment="1" applyProtection="1">
      <alignment horizontal="center" vertical="center" wrapText="1"/>
      <protection locked="0"/>
    </xf>
    <xf numFmtId="168" fontId="2" fillId="9" borderId="19" xfId="1" applyNumberFormat="1" applyFont="1" applyFill="1" applyBorder="1" applyAlignment="1" applyProtection="1">
      <alignment vertical="center" shrinkToFit="1"/>
    </xf>
    <xf numFmtId="43" fontId="2" fillId="11" borderId="19" xfId="1" applyFont="1" applyFill="1" applyBorder="1" applyAlignment="1" applyProtection="1">
      <alignment vertical="center" wrapText="1"/>
      <protection locked="0"/>
    </xf>
    <xf numFmtId="10" fontId="2" fillId="10" borderId="19" xfId="2" applyNumberFormat="1" applyFont="1" applyFill="1" applyBorder="1" applyAlignment="1" applyProtection="1">
      <alignment horizontal="center" vertical="center" wrapText="1"/>
      <protection locked="0"/>
    </xf>
    <xf numFmtId="168" fontId="2" fillId="9" borderId="19" xfId="1" applyNumberFormat="1" applyFont="1" applyFill="1" applyBorder="1" applyAlignment="1" applyProtection="1">
      <alignment horizontal="center" vertical="center" shrinkToFit="1"/>
    </xf>
    <xf numFmtId="0" fontId="0" fillId="0" borderId="19" xfId="0" applyBorder="1" applyAlignment="1">
      <alignment vertical="center" wrapText="1" shrinkToFit="1"/>
    </xf>
    <xf numFmtId="49" fontId="0" fillId="3" borderId="19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168" fontId="0" fillId="0" borderId="19" xfId="1" applyNumberFormat="1" applyFont="1" applyFill="1" applyBorder="1" applyAlignment="1" applyProtection="1">
      <alignment vertical="center" shrinkToFit="1"/>
    </xf>
    <xf numFmtId="43" fontId="0" fillId="2" borderId="19" xfId="1" applyFont="1" applyFill="1" applyBorder="1" applyAlignment="1" applyProtection="1">
      <alignment vertical="center" wrapText="1"/>
      <protection locked="0"/>
    </xf>
    <xf numFmtId="10" fontId="0" fillId="3" borderId="19" xfId="2" applyNumberFormat="1" applyFont="1" applyFill="1" applyBorder="1" applyAlignment="1" applyProtection="1">
      <alignment horizontal="center" vertical="center" wrapText="1"/>
      <protection locked="0"/>
    </xf>
    <xf numFmtId="168" fontId="0" fillId="0" borderId="19" xfId="1" applyNumberFormat="1" applyFont="1" applyFill="1" applyBorder="1" applyAlignment="1" applyProtection="1">
      <alignment horizontal="center" vertical="center" shrinkToFit="1"/>
    </xf>
    <xf numFmtId="0" fontId="0" fillId="9" borderId="19" xfId="0" applyFill="1" applyBorder="1" applyAlignment="1">
      <alignment vertical="center" wrapText="1" shrinkToFit="1"/>
    </xf>
    <xf numFmtId="49" fontId="0" fillId="10" borderId="19" xfId="0" applyNumberFormat="1" applyFill="1" applyBorder="1" applyAlignment="1" applyProtection="1">
      <alignment horizontal="center" vertical="center" wrapText="1"/>
      <protection locked="0"/>
    </xf>
    <xf numFmtId="49" fontId="0" fillId="11" borderId="19" xfId="0" applyNumberFormat="1" applyFill="1" applyBorder="1" applyAlignment="1" applyProtection="1">
      <alignment horizontal="center" vertical="center" wrapText="1"/>
      <protection locked="0"/>
    </xf>
    <xf numFmtId="0" fontId="0" fillId="11" borderId="19" xfId="0" applyFill="1" applyBorder="1" applyAlignment="1" applyProtection="1">
      <alignment horizontal="center" vertical="center" wrapText="1"/>
      <protection locked="0"/>
    </xf>
    <xf numFmtId="168" fontId="0" fillId="9" borderId="19" xfId="1" applyNumberFormat="1" applyFont="1" applyFill="1" applyBorder="1" applyAlignment="1" applyProtection="1">
      <alignment vertical="center" shrinkToFit="1"/>
    </xf>
    <xf numFmtId="43" fontId="0" fillId="11" borderId="19" xfId="1" applyFont="1" applyFill="1" applyBorder="1" applyAlignment="1" applyProtection="1">
      <alignment vertical="center" wrapText="1"/>
      <protection locked="0"/>
    </xf>
    <xf numFmtId="10" fontId="0" fillId="10" borderId="19" xfId="2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/>
    <xf numFmtId="0" fontId="8" fillId="5" borderId="0" xfId="0" applyFont="1" applyFill="1" applyAlignment="1">
      <alignment horizontal="left" wrapText="1"/>
    </xf>
    <xf numFmtId="0" fontId="7" fillId="5" borderId="12" xfId="3" applyFont="1" applyFill="1" applyBorder="1" applyAlignment="1">
      <alignment vertical="center"/>
    </xf>
    <xf numFmtId="0" fontId="5" fillId="5" borderId="0" xfId="0" applyFont="1" applyFill="1"/>
    <xf numFmtId="0" fontId="0" fillId="5" borderId="0" xfId="3" applyFont="1" applyFill="1" applyAlignment="1">
      <alignment vertical="center"/>
    </xf>
    <xf numFmtId="0" fontId="5" fillId="5" borderId="5" xfId="0" applyFont="1" applyFill="1" applyBorder="1"/>
    <xf numFmtId="0" fontId="0" fillId="5" borderId="5" xfId="0" applyFill="1" applyBorder="1"/>
    <xf numFmtId="0" fontId="0" fillId="5" borderId="5" xfId="3" applyFont="1" applyFill="1" applyBorder="1" applyAlignment="1">
      <alignment horizontal="left" vertical="top" wrapText="1"/>
    </xf>
    <xf numFmtId="0" fontId="0" fillId="5" borderId="5" xfId="3" applyFont="1" applyFill="1" applyBorder="1" applyAlignment="1">
      <alignment vertical="top" wrapText="1"/>
    </xf>
    <xf numFmtId="0" fontId="2" fillId="5" borderId="0" xfId="3" applyFont="1" applyFill="1" applyAlignment="1">
      <alignment vertical="top" wrapText="1"/>
    </xf>
    <xf numFmtId="0" fontId="2" fillId="5" borderId="21" xfId="3" applyFont="1" applyFill="1" applyBorder="1" applyAlignment="1">
      <alignment vertical="top" wrapText="1"/>
    </xf>
    <xf numFmtId="0" fontId="2" fillId="5" borderId="0" xfId="3" applyFont="1" applyFill="1" applyAlignment="1">
      <alignment horizontal="center" vertical="top" wrapText="1"/>
    </xf>
    <xf numFmtId="0" fontId="2" fillId="5" borderId="21" xfId="3" applyFont="1" applyFill="1" applyBorder="1" applyAlignment="1">
      <alignment horizontal="center" vertical="top" wrapText="1"/>
    </xf>
    <xf numFmtId="0" fontId="0" fillId="5" borderId="12" xfId="3" applyFont="1" applyFill="1" applyBorder="1" applyAlignment="1">
      <alignment vertical="top" wrapText="1"/>
    </xf>
    <xf numFmtId="0" fontId="0" fillId="5" borderId="20" xfId="3" applyFont="1" applyFill="1" applyBorder="1" applyAlignment="1">
      <alignment vertical="top" wrapText="1"/>
    </xf>
    <xf numFmtId="0" fontId="0" fillId="5" borderId="12" xfId="3" applyFont="1" applyFill="1" applyBorder="1" applyAlignment="1">
      <alignment horizontal="center" vertical="top" wrapText="1"/>
    </xf>
    <xf numFmtId="0" fontId="0" fillId="5" borderId="20" xfId="3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49" fontId="0" fillId="2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19" xfId="1" applyNumberFormat="1" applyFont="1" applyFill="1" applyBorder="1" applyAlignment="1" applyProtection="1">
      <alignment vertical="center" wrapText="1" shrinkToFit="1"/>
    </xf>
    <xf numFmtId="43" fontId="0" fillId="2" borderId="19" xfId="1" applyFont="1" applyFill="1" applyBorder="1" applyAlignment="1" applyProtection="1">
      <alignment vertical="center" shrinkToFit="1"/>
      <protection locked="0"/>
    </xf>
    <xf numFmtId="4" fontId="5" fillId="16" borderId="19" xfId="0" applyNumberFormat="1" applyFont="1" applyFill="1" applyBorder="1" applyAlignment="1">
      <alignment horizontal="right" vertical="center" shrinkToFit="1"/>
    </xf>
    <xf numFmtId="0" fontId="2" fillId="9" borderId="19" xfId="0" applyFont="1" applyFill="1" applyBorder="1" applyAlignment="1">
      <alignment horizontal="left" vertical="center" wrapText="1"/>
    </xf>
    <xf numFmtId="0" fontId="7" fillId="5" borderId="4" xfId="3" applyFont="1" applyFill="1" applyBorder="1" applyAlignment="1">
      <alignment vertical="center"/>
    </xf>
    <xf numFmtId="0" fontId="5" fillId="16" borderId="1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5" fillId="5" borderId="0" xfId="4" applyFont="1" applyFill="1" applyAlignment="1">
      <alignment horizontal="left" vertical="center"/>
    </xf>
    <xf numFmtId="0" fontId="0" fillId="5" borderId="0" xfId="3" applyFont="1" applyFill="1" applyAlignment="1">
      <alignment horizontal="left" vertical="center" wrapText="1"/>
    </xf>
    <xf numFmtId="0" fontId="13" fillId="5" borderId="0" xfId="5" applyNumberFormat="1" applyFont="1" applyFill="1" applyBorder="1" applyAlignment="1" applyProtection="1">
      <alignment horizontal="left" vertical="center" wrapText="1"/>
    </xf>
    <xf numFmtId="0" fontId="0" fillId="0" borderId="0" xfId="3" applyFont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wrapText="1"/>
    </xf>
    <xf numFmtId="165" fontId="0" fillId="5" borderId="4" xfId="0" applyNumberForma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3" applyFont="1" applyFill="1" applyAlignment="1">
      <alignment vertical="center"/>
    </xf>
    <xf numFmtId="166" fontId="0" fillId="5" borderId="4" xfId="0" applyNumberFormat="1" applyFill="1" applyBorder="1" applyAlignment="1">
      <alignment horizontal="left" vertical="center"/>
    </xf>
    <xf numFmtId="0" fontId="5" fillId="5" borderId="5" xfId="0" applyFont="1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170" fontId="0" fillId="8" borderId="0" xfId="7" applyFont="1" applyFill="1" applyBorder="1" applyAlignment="1" applyProtection="1">
      <alignment horizontal="center" vertical="center"/>
    </xf>
    <xf numFmtId="0" fontId="18" fillId="5" borderId="19" xfId="6" applyFont="1" applyFill="1" applyBorder="1" applyAlignment="1" applyProtection="1">
      <alignment horizontal="center" vertical="center"/>
      <protection locked="0"/>
    </xf>
    <xf numFmtId="0" fontId="18" fillId="0" borderId="19" xfId="6" applyFont="1" applyBorder="1" applyAlignment="1">
      <alignment horizontal="center" vertical="center"/>
    </xf>
    <xf numFmtId="172" fontId="18" fillId="5" borderId="19" xfId="6" applyNumberFormat="1" applyFont="1" applyFill="1" applyBorder="1" applyAlignment="1" applyProtection="1">
      <alignment horizontal="center" vertical="center"/>
      <protection locked="0"/>
    </xf>
    <xf numFmtId="172" fontId="18" fillId="0" borderId="19" xfId="6" applyNumberFormat="1" applyFont="1" applyBorder="1" applyAlignment="1">
      <alignment horizontal="center" vertical="center"/>
    </xf>
    <xf numFmtId="169" fontId="19" fillId="0" borderId="19" xfId="6" applyNumberFormat="1" applyFont="1" applyBorder="1" applyAlignment="1">
      <alignment horizontal="left" vertical="center"/>
    </xf>
    <xf numFmtId="10" fontId="20" fillId="0" borderId="19" xfId="6" applyNumberFormat="1" applyFont="1" applyBorder="1" applyAlignment="1">
      <alignment horizontal="left" vertical="center" wrapText="1"/>
    </xf>
    <xf numFmtId="171" fontId="1" fillId="0" borderId="19" xfId="1" applyNumberFormat="1" applyFill="1" applyBorder="1" applyAlignment="1" applyProtection="1">
      <alignment horizontal="right" vertical="center" shrinkToFit="1"/>
    </xf>
    <xf numFmtId="171" fontId="0" fillId="0" borderId="19" xfId="1" applyNumberFormat="1" applyFont="1" applyFill="1" applyBorder="1" applyAlignment="1" applyProtection="1">
      <alignment horizontal="center" vertical="center"/>
    </xf>
    <xf numFmtId="0" fontId="19" fillId="8" borderId="0" xfId="6" applyFont="1" applyFill="1" applyAlignment="1">
      <alignment vertical="center"/>
    </xf>
    <xf numFmtId="170" fontId="0" fillId="4" borderId="19" xfId="7" applyFont="1" applyFill="1" applyBorder="1" applyAlignment="1" applyProtection="1">
      <alignment horizontal="right" vertical="center"/>
    </xf>
    <xf numFmtId="10" fontId="15" fillId="5" borderId="19" xfId="8" applyNumberFormat="1" applyFont="1" applyFill="1" applyBorder="1" applyAlignment="1" applyProtection="1">
      <alignment horizontal="center" vertical="center"/>
    </xf>
    <xf numFmtId="170" fontId="5" fillId="4" borderId="19" xfId="7" applyFont="1" applyFill="1" applyBorder="1" applyAlignment="1" applyProtection="1">
      <alignment horizontal="right" vertical="center"/>
    </xf>
    <xf numFmtId="170" fontId="21" fillId="18" borderId="19" xfId="7" applyFont="1" applyFill="1" applyBorder="1" applyAlignment="1" applyProtection="1">
      <alignment horizontal="center" vertical="center" shrinkToFit="1"/>
    </xf>
    <xf numFmtId="0" fontId="19" fillId="8" borderId="6" xfId="6" applyFont="1" applyFill="1" applyBorder="1" applyAlignment="1">
      <alignment vertical="center"/>
    </xf>
    <xf numFmtId="10" fontId="19" fillId="0" borderId="19" xfId="6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textRotation="90" wrapText="1"/>
    </xf>
    <xf numFmtId="0" fontId="0" fillId="5" borderId="0" xfId="3" applyFont="1" applyFill="1" applyAlignment="1">
      <alignment horizontal="center" vertical="center"/>
    </xf>
    <xf numFmtId="0" fontId="3" fillId="5" borderId="0" xfId="3" applyFill="1" applyAlignment="1">
      <alignment horizontal="left" vertical="center"/>
    </xf>
    <xf numFmtId="0" fontId="2" fillId="19" borderId="19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7" fillId="5" borderId="0" xfId="3" applyFont="1" applyFill="1" applyAlignment="1">
      <alignment vertical="center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173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 textRotation="90"/>
    </xf>
    <xf numFmtId="43" fontId="0" fillId="0" borderId="0" xfId="0" applyNumberFormat="1"/>
    <xf numFmtId="2" fontId="0" fillId="0" borderId="0" xfId="0" applyNumberFormat="1" applyAlignment="1">
      <alignment vertical="center"/>
    </xf>
    <xf numFmtId="174" fontId="0" fillId="2" borderId="19" xfId="1" applyNumberFormat="1" applyFont="1" applyFill="1" applyBorder="1" applyAlignment="1" applyProtection="1">
      <alignment vertical="center" shrinkToFit="1"/>
      <protection locked="0"/>
    </xf>
    <xf numFmtId="175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19" xfId="1" applyNumberFormat="1" applyFont="1" applyFill="1" applyBorder="1" applyAlignment="1" applyProtection="1">
      <alignment vertical="center" shrinkToFit="1"/>
    </xf>
    <xf numFmtId="43" fontId="0" fillId="2" borderId="25" xfId="1" applyFont="1" applyFill="1" applyBorder="1" applyAlignment="1" applyProtection="1">
      <alignment vertical="center" wrapText="1"/>
      <protection locked="0"/>
    </xf>
    <xf numFmtId="10" fontId="0" fillId="5" borderId="20" xfId="3" applyNumberFormat="1" applyFont="1" applyFill="1" applyBorder="1" applyAlignment="1">
      <alignment horizontal="center" vertical="top" wrapText="1"/>
    </xf>
    <xf numFmtId="10" fontId="15" fillId="0" borderId="19" xfId="8" applyNumberFormat="1" applyFont="1" applyFill="1" applyBorder="1" applyAlignment="1" applyProtection="1">
      <alignment horizontal="center"/>
    </xf>
    <xf numFmtId="49" fontId="0" fillId="2" borderId="26" xfId="1" applyNumberFormat="1" applyFont="1" applyFill="1" applyBorder="1" applyAlignment="1" applyProtection="1">
      <alignment horizontal="left" vertical="center" wrapText="1" shrinkToFit="1"/>
      <protection locked="0"/>
    </xf>
    <xf numFmtId="171" fontId="0" fillId="0" borderId="19" xfId="1" applyNumberFormat="1" applyFont="1" applyFill="1" applyBorder="1" applyAlignment="1" applyProtection="1">
      <alignment horizontal="right" vertical="center" shrinkToFit="1"/>
    </xf>
    <xf numFmtId="0" fontId="6" fillId="5" borderId="0" xfId="3" applyFont="1" applyFill="1" applyAlignment="1">
      <alignment horizontal="center"/>
    </xf>
    <xf numFmtId="0" fontId="6" fillId="5" borderId="0" xfId="3" applyFont="1" applyFill="1" applyAlignment="1">
      <alignment horizontal="left"/>
    </xf>
    <xf numFmtId="0" fontId="5" fillId="5" borderId="6" xfId="4" applyFont="1" applyFill="1" applyBorder="1" applyAlignment="1">
      <alignment horizontal="left" vertical="top"/>
    </xf>
    <xf numFmtId="0" fontId="5" fillId="5" borderId="0" xfId="4" applyFont="1" applyFill="1" applyAlignment="1">
      <alignment horizontal="left" vertical="top"/>
    </xf>
    <xf numFmtId="0" fontId="5" fillId="5" borderId="7" xfId="4" applyFont="1" applyFill="1" applyBorder="1" applyAlignment="1">
      <alignment horizontal="left" vertical="top"/>
    </xf>
    <xf numFmtId="0" fontId="0" fillId="5" borderId="8" xfId="3" applyFont="1" applyFill="1" applyBorder="1" applyAlignment="1">
      <alignment horizontal="left" vertical="top" wrapText="1"/>
    </xf>
    <xf numFmtId="0" fontId="0" fillId="5" borderId="4" xfId="3" applyFont="1" applyFill="1" applyBorder="1" applyAlignment="1">
      <alignment horizontal="left" vertical="top" wrapText="1"/>
    </xf>
    <xf numFmtId="0" fontId="0" fillId="5" borderId="9" xfId="3" applyFont="1" applyFill="1" applyBorder="1" applyAlignment="1">
      <alignment horizontal="left" vertical="top" wrapText="1"/>
    </xf>
    <xf numFmtId="49" fontId="0" fillId="6" borderId="3" xfId="3" applyNumberFormat="1" applyFont="1" applyFill="1" applyBorder="1" applyAlignment="1" applyProtection="1">
      <alignment horizontal="left" vertical="top" wrapText="1"/>
      <protection locked="0"/>
    </xf>
    <xf numFmtId="165" fontId="0" fillId="5" borderId="4" xfId="3" applyNumberFormat="1" applyFont="1" applyFill="1" applyBorder="1" applyAlignment="1">
      <alignment horizontal="left"/>
    </xf>
    <xf numFmtId="166" fontId="0" fillId="5" borderId="4" xfId="3" applyNumberFormat="1" applyFont="1" applyFill="1" applyBorder="1" applyAlignment="1">
      <alignment horizontal="left"/>
    </xf>
    <xf numFmtId="0" fontId="5" fillId="5" borderId="0" xfId="3" applyFont="1" applyFill="1" applyAlignment="1">
      <alignment horizontal="left" vertical="center"/>
    </xf>
    <xf numFmtId="0" fontId="7" fillId="5" borderId="0" xfId="3" applyFont="1" applyFill="1" applyAlignment="1">
      <alignment horizontal="left" vertical="center"/>
    </xf>
    <xf numFmtId="0" fontId="0" fillId="5" borderId="5" xfId="3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top"/>
    </xf>
    <xf numFmtId="0" fontId="6" fillId="5" borderId="3" xfId="3" applyFont="1" applyFill="1" applyBorder="1" applyAlignment="1">
      <alignment horizontal="left" vertical="center" wrapText="1"/>
    </xf>
    <xf numFmtId="0" fontId="0" fillId="0" borderId="3" xfId="3" applyFont="1" applyBorder="1" applyAlignment="1">
      <alignment horizontal="left" vertical="center" wrapText="1"/>
    </xf>
    <xf numFmtId="0" fontId="8" fillId="4" borderId="3" xfId="3" applyFont="1" applyFill="1" applyBorder="1" applyAlignment="1">
      <alignment horizontal="left" vertical="center" wrapText="1"/>
    </xf>
    <xf numFmtId="0" fontId="0" fillId="5" borderId="0" xfId="3" applyFont="1" applyFill="1" applyAlignment="1">
      <alignment horizontal="center" vertical="center"/>
    </xf>
    <xf numFmtId="0" fontId="6" fillId="0" borderId="3" xfId="3" applyFont="1" applyBorder="1" applyAlignment="1">
      <alignment horizontal="left"/>
    </xf>
    <xf numFmtId="10" fontId="6" fillId="2" borderId="3" xfId="3" applyNumberFormat="1" applyFont="1" applyFill="1" applyBorder="1" applyAlignment="1" applyProtection="1">
      <alignment horizontal="center"/>
      <protection locked="0"/>
    </xf>
    <xf numFmtId="0" fontId="4" fillId="0" borderId="3" xfId="3" applyFont="1" applyBorder="1" applyAlignment="1">
      <alignment horizontal="center"/>
    </xf>
    <xf numFmtId="0" fontId="5" fillId="0" borderId="1" xfId="4" applyFont="1" applyBorder="1" applyAlignment="1">
      <alignment horizontal="left" vertical="top"/>
    </xf>
    <xf numFmtId="164" fontId="6" fillId="3" borderId="2" xfId="5" applyFont="1" applyFill="1" applyBorder="1" applyAlignment="1" applyProtection="1">
      <alignment horizontal="left"/>
      <protection locked="0"/>
    </xf>
    <xf numFmtId="0" fontId="7" fillId="0" borderId="3" xfId="3" applyFont="1" applyBorder="1" applyAlignment="1">
      <alignment horizontal="center" vertical="center"/>
    </xf>
    <xf numFmtId="4" fontId="7" fillId="0" borderId="3" xfId="3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4" applyFont="1" applyFill="1" applyBorder="1" applyAlignment="1">
      <alignment horizontal="left" vertical="top"/>
    </xf>
    <xf numFmtId="0" fontId="6" fillId="5" borderId="2" xfId="5" applyNumberFormat="1" applyFont="1" applyFill="1" applyBorder="1" applyAlignment="1" applyProtection="1">
      <alignment horizontal="left" wrapText="1"/>
    </xf>
    <xf numFmtId="0" fontId="6" fillId="0" borderId="3" xfId="3" applyFont="1" applyBorder="1" applyAlignment="1">
      <alignment horizontal="left" wrapText="1"/>
    </xf>
    <xf numFmtId="0" fontId="4" fillId="5" borderId="0" xfId="3" applyFont="1" applyFill="1" applyAlignment="1">
      <alignment horizontal="center"/>
    </xf>
    <xf numFmtId="0" fontId="4" fillId="5" borderId="7" xfId="3" applyFont="1" applyFill="1" applyBorder="1" applyAlignment="1">
      <alignment horizontal="center"/>
    </xf>
    <xf numFmtId="0" fontId="1" fillId="5" borderId="6" xfId="3" applyFont="1" applyFill="1" applyBorder="1" applyAlignment="1">
      <alignment horizontal="center" vertical="top" wrapText="1"/>
    </xf>
    <xf numFmtId="0" fontId="1" fillId="5" borderId="0" xfId="3" applyFont="1" applyFill="1" applyAlignment="1">
      <alignment horizontal="center" vertical="top" wrapText="1"/>
    </xf>
    <xf numFmtId="0" fontId="1" fillId="5" borderId="7" xfId="3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5" borderId="12" xfId="3" applyFont="1" applyFill="1" applyBorder="1" applyAlignment="1">
      <alignment horizontal="center" vertical="top" wrapText="1"/>
    </xf>
    <xf numFmtId="0" fontId="2" fillId="5" borderId="0" xfId="3" applyFont="1" applyFill="1" applyAlignment="1">
      <alignment horizontal="center" vertical="top" wrapText="1"/>
    </xf>
    <xf numFmtId="0" fontId="2" fillId="5" borderId="14" xfId="3" applyFont="1" applyFill="1" applyBorder="1" applyAlignment="1">
      <alignment horizontal="center" vertical="top" wrapText="1"/>
    </xf>
    <xf numFmtId="0" fontId="2" fillId="5" borderId="10" xfId="3" applyFont="1" applyFill="1" applyBorder="1" applyAlignment="1">
      <alignment horizontal="center" vertical="top" wrapText="1"/>
    </xf>
    <xf numFmtId="0" fontId="0" fillId="5" borderId="13" xfId="3" applyFont="1" applyFill="1" applyBorder="1" applyAlignment="1">
      <alignment horizontal="center" vertical="top" wrapText="1"/>
    </xf>
    <xf numFmtId="0" fontId="0" fillId="5" borderId="11" xfId="3" applyFont="1" applyFill="1" applyBorder="1" applyAlignment="1">
      <alignment horizontal="center" vertical="top" wrapText="1"/>
    </xf>
    <xf numFmtId="0" fontId="5" fillId="5" borderId="10" xfId="4" applyFont="1" applyFill="1" applyBorder="1" applyAlignment="1">
      <alignment horizontal="left" vertical="top"/>
    </xf>
    <xf numFmtId="0" fontId="13" fillId="5" borderId="8" xfId="5" applyNumberFormat="1" applyFont="1" applyFill="1" applyBorder="1" applyAlignment="1" applyProtection="1">
      <alignment horizontal="center" wrapText="1"/>
    </xf>
    <xf numFmtId="0" fontId="13" fillId="5" borderId="4" xfId="5" applyNumberFormat="1" applyFont="1" applyFill="1" applyBorder="1" applyAlignment="1" applyProtection="1">
      <alignment horizontal="center" wrapText="1"/>
    </xf>
    <xf numFmtId="0" fontId="13" fillId="5" borderId="9" xfId="5" applyNumberFormat="1" applyFont="1" applyFill="1" applyBorder="1" applyAlignment="1" applyProtection="1">
      <alignment horizontal="center" wrapText="1"/>
    </xf>
    <xf numFmtId="0" fontId="5" fillId="7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3" fillId="5" borderId="0" xfId="3" applyFill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65" fontId="0" fillId="5" borderId="4" xfId="0" applyNumberFormat="1" applyFill="1" applyBorder="1" applyAlignment="1">
      <alignment horizontal="left"/>
    </xf>
    <xf numFmtId="166" fontId="0" fillId="5" borderId="0" xfId="0" applyNumberFormat="1" applyFill="1" applyAlignment="1">
      <alignment horizontal="left"/>
    </xf>
    <xf numFmtId="0" fontId="5" fillId="5" borderId="19" xfId="4" applyFont="1" applyFill="1" applyBorder="1" applyAlignment="1">
      <alignment horizontal="left" vertical="center"/>
    </xf>
    <xf numFmtId="0" fontId="0" fillId="5" borderId="19" xfId="3" applyFont="1" applyFill="1" applyBorder="1" applyAlignment="1">
      <alignment horizontal="left" vertical="center" wrapText="1"/>
    </xf>
    <xf numFmtId="170" fontId="2" fillId="4" borderId="24" xfId="7" applyFont="1" applyFill="1" applyBorder="1" applyAlignment="1" applyProtection="1">
      <alignment horizontal="center" vertical="center"/>
    </xf>
    <xf numFmtId="169" fontId="19" fillId="0" borderId="0" xfId="6" applyNumberFormat="1" applyFont="1" applyAlignment="1">
      <alignment horizontal="center" vertical="center"/>
    </xf>
    <xf numFmtId="0" fontId="13" fillId="5" borderId="19" xfId="5" applyNumberFormat="1" applyFont="1" applyFill="1" applyBorder="1" applyAlignment="1" applyProtection="1">
      <alignment horizontal="left" vertical="center" wrapText="1"/>
    </xf>
    <xf numFmtId="0" fontId="18" fillId="0" borderId="19" xfId="6" applyFont="1" applyBorder="1" applyAlignment="1">
      <alignment horizontal="center" vertical="center" wrapText="1"/>
    </xf>
    <xf numFmtId="0" fontId="18" fillId="0" borderId="19" xfId="6" applyFont="1" applyBorder="1" applyAlignment="1">
      <alignment horizontal="left" vertical="center" wrapText="1"/>
    </xf>
    <xf numFmtId="170" fontId="5" fillId="0" borderId="19" xfId="7" applyFont="1" applyFill="1" applyBorder="1" applyAlignment="1" applyProtection="1">
      <alignment horizontal="center" vertical="center" wrapText="1"/>
    </xf>
    <xf numFmtId="171" fontId="5" fillId="0" borderId="19" xfId="1" applyNumberFormat="1" applyFont="1" applyFill="1" applyBorder="1" applyAlignment="1" applyProtection="1">
      <alignment horizontal="center" vertical="center"/>
    </xf>
    <xf numFmtId="0" fontId="3" fillId="5" borderId="0" xfId="3" applyFill="1" applyAlignment="1">
      <alignment horizontal="left" vertical="center"/>
    </xf>
    <xf numFmtId="0" fontId="2" fillId="17" borderId="22" xfId="0" applyFont="1" applyFill="1" applyBorder="1" applyAlignment="1">
      <alignment horizontal="left" vertical="center" wrapText="1"/>
    </xf>
    <xf numFmtId="0" fontId="2" fillId="17" borderId="23" xfId="0" applyFont="1" applyFill="1" applyBorder="1" applyAlignment="1">
      <alignment horizontal="left" vertical="center" wrapText="1"/>
    </xf>
    <xf numFmtId="0" fontId="2" fillId="17" borderId="24" xfId="0" applyFont="1" applyFill="1" applyBorder="1" applyAlignment="1">
      <alignment horizontal="left" vertical="center" wrapText="1"/>
    </xf>
    <xf numFmtId="0" fontId="0" fillId="5" borderId="13" xfId="3" applyFont="1" applyFill="1" applyBorder="1" applyAlignment="1">
      <alignment horizontal="left" vertical="center" wrapText="1"/>
    </xf>
    <xf numFmtId="0" fontId="0" fillId="5" borderId="11" xfId="3" applyFont="1" applyFill="1" applyBorder="1" applyAlignment="1">
      <alignment horizontal="left" vertical="center" wrapText="1"/>
    </xf>
    <xf numFmtId="0" fontId="2" fillId="9" borderId="22" xfId="0" applyFont="1" applyFill="1" applyBorder="1" applyAlignment="1">
      <alignment horizontal="left" vertical="center" wrapText="1"/>
    </xf>
    <xf numFmtId="0" fontId="2" fillId="9" borderId="23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left" vertical="center" wrapText="1"/>
    </xf>
    <xf numFmtId="0" fontId="2" fillId="19" borderId="22" xfId="0" applyFont="1" applyFill="1" applyBorder="1" applyAlignment="1">
      <alignment horizontal="left" vertical="center" wrapText="1"/>
    </xf>
    <xf numFmtId="0" fontId="2" fillId="19" borderId="23" xfId="0" applyFont="1" applyFill="1" applyBorder="1" applyAlignment="1">
      <alignment horizontal="left" vertical="center" wrapText="1"/>
    </xf>
    <xf numFmtId="0" fontId="2" fillId="19" borderId="24" xfId="0" applyFont="1" applyFill="1" applyBorder="1" applyAlignment="1">
      <alignment horizontal="left" vertical="center" wrapText="1"/>
    </xf>
    <xf numFmtId="0" fontId="15" fillId="15" borderId="17" xfId="0" applyFont="1" applyFill="1" applyBorder="1" applyAlignment="1">
      <alignment horizontal="center" vertical="center"/>
    </xf>
    <xf numFmtId="0" fontId="15" fillId="15" borderId="18" xfId="0" applyFont="1" applyFill="1" applyBorder="1" applyAlignment="1">
      <alignment horizontal="center" vertical="center"/>
    </xf>
    <xf numFmtId="0" fontId="13" fillId="5" borderId="13" xfId="5" applyNumberFormat="1" applyFont="1" applyFill="1" applyBorder="1" applyAlignment="1" applyProtection="1">
      <alignment horizontal="left" vertical="center" wrapText="1"/>
    </xf>
    <xf numFmtId="0" fontId="13" fillId="5" borderId="12" xfId="5" applyNumberFormat="1" applyFont="1" applyFill="1" applyBorder="1" applyAlignment="1" applyProtection="1">
      <alignment horizontal="left" vertical="center" wrapText="1"/>
    </xf>
    <xf numFmtId="0" fontId="13" fillId="5" borderId="11" xfId="5" applyNumberFormat="1" applyFont="1" applyFill="1" applyBorder="1" applyAlignment="1" applyProtection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4" xfId="4" applyFont="1" applyFill="1" applyBorder="1" applyAlignment="1">
      <alignment horizontal="left" vertical="center"/>
    </xf>
    <xf numFmtId="0" fontId="5" fillId="5" borderId="0" xfId="4" applyFont="1" applyFill="1" applyAlignment="1">
      <alignment horizontal="left" vertical="center"/>
    </xf>
    <xf numFmtId="0" fontId="5" fillId="5" borderId="10" xfId="4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9">
    <cellStyle name="Moeda_Composicao BDI v2.1" xfId="5" xr:uid="{77E6601F-97A9-4825-9466-8DA052584CDF}"/>
    <cellStyle name="Normal" xfId="0" builtinId="0"/>
    <cellStyle name="Normal 2" xfId="3" xr:uid="{3FE8E9BA-E88B-410F-AAEC-2B610338A376}"/>
    <cellStyle name="Normal 3" xfId="6" xr:uid="{DB485E2D-25B6-4E75-981B-8CC174FAE600}"/>
    <cellStyle name="Normal_FICHA DE VERIFICAÇÃO PRELIMINAR - Plano R" xfId="4" xr:uid="{44D01A67-047D-449D-8928-C3603CE7E120}"/>
    <cellStyle name="Porcentagem" xfId="2" builtinId="5"/>
    <cellStyle name="Porcentagem 2" xfId="8" xr:uid="{1024FC5D-2FF1-48D8-A15F-35E89DEDA41C}"/>
    <cellStyle name="Vírgula" xfId="1" builtinId="3"/>
    <cellStyle name="Vírgula 2" xfId="7" xr:uid="{41EF5ADF-E518-4D51-9D78-6981B4CDB70A}"/>
  </cellStyles>
  <dxfs count="43"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ill>
        <patternFill patternType="solid">
          <fgColor indexed="26"/>
          <bgColor indexed="43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EFEITURA\PAVIMENTA&#199;&#195;O%202025%20-%20400%20MIL\FINAL\Pavimenta&#231;&#227;o%202%20S&#227;o%20Jo&#227;o%20da%20Lagoa%20MG.xls" TargetMode="External"/><Relationship Id="rId1" Type="http://schemas.openxmlformats.org/officeDocument/2006/relationships/externalLinkPath" Target="/PREFEITURA/PAVIMENTA&#199;&#195;O%202025%20-%20400%20MIL/FINAL/Pavimenta&#231;&#227;o%202%20S&#227;o%20Jo&#227;o%20da%20Lagoa%20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>
        <row r="4">
          <cell r="F4" t="str">
            <v>(SELECIONAR)</v>
          </cell>
        </row>
        <row r="5">
          <cell r="F5" t="str">
            <v>Prefeitura Municipal de São João da Lagoa</v>
          </cell>
        </row>
        <row r="6">
          <cell r="F6" t="str">
            <v>São João da Lagoa  MG</v>
          </cell>
        </row>
        <row r="16">
          <cell r="F16" t="str">
            <v xml:space="preserve">EXECUÇÃO DE PAVIMENTAÇÃO EM BLOCO SEXTAVADO DE CONCRETO DE VIAS URBANAS E RURAIS NO MUNICÍPIO DE SÃO JOÃO DA LAGOA/MG </v>
          </cell>
        </row>
        <row r="17">
          <cell r="F17" t="str">
            <v xml:space="preserve">EXECUÇÃO DE PAVIMENTAÇÃO EM BLOCO SEXTAVADO DE CONCRETO DE VIAS URBANAS E RURAIS NO MUNICÍPIO DE SÃO JOÃO DA LAGOA/MG </v>
          </cell>
        </row>
        <row r="18">
          <cell r="F18" t="str">
            <v>DESONERADO</v>
          </cell>
        </row>
        <row r="22">
          <cell r="F22" t="str">
            <v>LEONARDO PETERSON AMARAL LIMA</v>
          </cell>
        </row>
        <row r="23">
          <cell r="F23" t="str">
            <v>331.073/D</v>
          </cell>
        </row>
        <row r="24">
          <cell r="F24" t="str">
            <v>MG20253837048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>
        <row r="15">
          <cell r="M15">
            <v>1</v>
          </cell>
          <cell r="Q15">
            <v>104822.83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 t="str">
            <v/>
          </cell>
        </row>
        <row r="21">
          <cell r="M21">
            <v>3</v>
          </cell>
        </row>
        <row r="22">
          <cell r="M22" t="str">
            <v/>
          </cell>
        </row>
        <row r="23">
          <cell r="M23">
            <v>4</v>
          </cell>
        </row>
        <row r="24">
          <cell r="M24" t="str">
            <v/>
          </cell>
        </row>
        <row r="25">
          <cell r="M25">
            <v>5</v>
          </cell>
        </row>
        <row r="26">
          <cell r="M26">
            <v>5</v>
          </cell>
        </row>
      </sheetData>
      <sheetData sheetId="6">
        <row r="15">
          <cell r="B15" t="str">
            <v>1.Administração Local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0994-C249-443D-8B26-62C364C4E26F}">
  <dimension ref="A1:N51"/>
  <sheetViews>
    <sheetView topLeftCell="A21" workbookViewId="0">
      <selection activeCell="H42" sqref="H42:K42"/>
    </sheetView>
  </sheetViews>
  <sheetFormatPr defaultRowHeight="15" x14ac:dyDescent="0.25"/>
  <cols>
    <col min="1" max="1" width="2.7109375" customWidth="1"/>
    <col min="2" max="7" width="10.7109375" customWidth="1"/>
    <col min="8" max="8" width="12.85546875" customWidth="1"/>
    <col min="9" max="11" width="10.7109375" customWidth="1"/>
    <col min="12" max="12" width="2.7109375" customWidth="1"/>
  </cols>
  <sheetData>
    <row r="1" spans="1:12" ht="4.5" customHeight="1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ht="15.75" x14ac:dyDescent="0.25">
      <c r="A2" s="24"/>
      <c r="B2" s="191" t="str">
        <f>"Quadro de Composição do BDI"</f>
        <v>Quadro de Composição do BDI</v>
      </c>
      <c r="C2" s="191"/>
      <c r="D2" s="191"/>
      <c r="E2" s="191"/>
      <c r="F2" s="191"/>
      <c r="G2" s="191"/>
      <c r="H2" s="191"/>
      <c r="I2" s="192"/>
      <c r="J2" s="186" t="s">
        <v>0</v>
      </c>
      <c r="K2" s="186"/>
      <c r="L2" s="21"/>
    </row>
    <row r="3" spans="1:12" x14ac:dyDescent="0.25">
      <c r="A3" s="24"/>
      <c r="B3" s="10"/>
      <c r="C3" s="10"/>
      <c r="D3" s="10"/>
      <c r="E3" s="10"/>
      <c r="F3" s="10"/>
      <c r="G3" s="10"/>
      <c r="H3" s="10"/>
      <c r="I3" s="10"/>
      <c r="J3" s="187" t="s">
        <v>1</v>
      </c>
      <c r="K3" s="187"/>
      <c r="L3" s="21"/>
    </row>
    <row r="4" spans="1:12" x14ac:dyDescent="0.25">
      <c r="A4" s="24"/>
      <c r="B4" s="10"/>
      <c r="C4" s="10"/>
      <c r="D4" s="10"/>
      <c r="E4" s="10"/>
      <c r="F4" s="10"/>
      <c r="G4" s="10"/>
      <c r="H4" s="10"/>
      <c r="I4" s="10"/>
      <c r="J4" s="10"/>
      <c r="K4" s="10"/>
      <c r="L4" s="21"/>
    </row>
    <row r="5" spans="1:12" x14ac:dyDescent="0.25">
      <c r="A5" s="24"/>
      <c r="B5" s="159" t="s">
        <v>2</v>
      </c>
      <c r="C5" s="160"/>
      <c r="D5" s="160"/>
      <c r="E5" s="160"/>
      <c r="F5" s="160"/>
      <c r="G5" s="160"/>
      <c r="H5" s="160"/>
      <c r="I5" s="160"/>
      <c r="J5" s="160"/>
      <c r="K5" s="161"/>
      <c r="L5" s="21"/>
    </row>
    <row r="6" spans="1:12" ht="15" customHeight="1" x14ac:dyDescent="0.25">
      <c r="A6" s="24"/>
      <c r="B6" s="162" t="s">
        <v>120</v>
      </c>
      <c r="C6" s="163"/>
      <c r="D6" s="163"/>
      <c r="E6" s="163"/>
      <c r="F6" s="163"/>
      <c r="G6" s="163"/>
      <c r="H6" s="163"/>
      <c r="I6" s="163"/>
      <c r="J6" s="163"/>
      <c r="K6" s="164"/>
      <c r="L6" s="21"/>
    </row>
    <row r="7" spans="1:12" x14ac:dyDescent="0.25">
      <c r="A7" s="24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</row>
    <row r="8" spans="1:12" x14ac:dyDescent="0.25">
      <c r="A8" s="24"/>
      <c r="B8" s="188" t="s">
        <v>45</v>
      </c>
      <c r="C8" s="188"/>
      <c r="D8" s="188"/>
      <c r="E8" s="188"/>
      <c r="F8" s="188"/>
      <c r="G8" s="188"/>
      <c r="H8" s="188"/>
      <c r="I8" s="188"/>
      <c r="J8" s="188"/>
      <c r="K8" s="188"/>
      <c r="L8" s="21"/>
    </row>
    <row r="9" spans="1:12" ht="27.75" customHeight="1" x14ac:dyDescent="0.25">
      <c r="A9" s="24"/>
      <c r="B9" s="189" t="s">
        <v>138</v>
      </c>
      <c r="C9" s="189"/>
      <c r="D9" s="189"/>
      <c r="E9" s="189"/>
      <c r="F9" s="189"/>
      <c r="G9" s="189"/>
      <c r="H9" s="189"/>
      <c r="I9" s="189"/>
      <c r="J9" s="189"/>
      <c r="K9" s="189"/>
      <c r="L9" s="21"/>
    </row>
    <row r="10" spans="1:12" x14ac:dyDescent="0.25">
      <c r="A10" s="24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  <row r="11" spans="1:12" x14ac:dyDescent="0.25">
      <c r="A11" s="24"/>
      <c r="B11" s="190" t="s">
        <v>3</v>
      </c>
      <c r="C11" s="190"/>
      <c r="D11" s="190"/>
      <c r="E11" s="190"/>
      <c r="F11" s="190"/>
      <c r="G11" s="190"/>
      <c r="H11" s="190"/>
      <c r="I11" s="190"/>
      <c r="J11" s="180">
        <v>1</v>
      </c>
      <c r="K11" s="180"/>
      <c r="L11" s="21"/>
    </row>
    <row r="12" spans="1:12" x14ac:dyDescent="0.25">
      <c r="A12" s="24"/>
      <c r="B12" s="179" t="s">
        <v>4</v>
      </c>
      <c r="C12" s="179"/>
      <c r="D12" s="179"/>
      <c r="E12" s="179"/>
      <c r="F12" s="179"/>
      <c r="G12" s="179"/>
      <c r="H12" s="179"/>
      <c r="I12" s="179"/>
      <c r="J12" s="180">
        <v>0.05</v>
      </c>
      <c r="K12" s="180"/>
      <c r="L12" s="21"/>
    </row>
    <row r="13" spans="1:12" x14ac:dyDescent="0.25">
      <c r="A13" s="2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1"/>
    </row>
    <row r="14" spans="1:12" ht="15.75" x14ac:dyDescent="0.25">
      <c r="A14" s="24"/>
      <c r="B14" s="181" t="s">
        <v>5</v>
      </c>
      <c r="C14" s="181"/>
      <c r="D14" s="181"/>
      <c r="E14" s="181"/>
      <c r="F14" s="181"/>
      <c r="G14" s="181"/>
      <c r="H14" s="181"/>
      <c r="I14" s="181"/>
      <c r="J14" s="181"/>
      <c r="K14" s="181"/>
      <c r="L14" s="21"/>
    </row>
    <row r="15" spans="1:12" x14ac:dyDescent="0.25">
      <c r="A15" s="2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1"/>
    </row>
    <row r="16" spans="1:12" x14ac:dyDescent="0.25">
      <c r="A16" s="24"/>
      <c r="B16" s="182" t="s">
        <v>6</v>
      </c>
      <c r="C16" s="182"/>
      <c r="D16" s="182"/>
      <c r="E16" s="182"/>
      <c r="F16" s="182"/>
      <c r="G16" s="182"/>
      <c r="H16" s="182"/>
      <c r="I16" s="182"/>
      <c r="J16" s="182"/>
      <c r="K16" s="182"/>
      <c r="L16" s="21"/>
    </row>
    <row r="17" spans="1:14" x14ac:dyDescent="0.25">
      <c r="A17" s="24"/>
      <c r="B17" s="183" t="s">
        <v>7</v>
      </c>
      <c r="C17" s="183"/>
      <c r="D17" s="183"/>
      <c r="E17" s="183"/>
      <c r="F17" s="183"/>
      <c r="G17" s="183"/>
      <c r="H17" s="183"/>
      <c r="I17" s="183"/>
      <c r="J17" s="183"/>
      <c r="K17" s="183"/>
      <c r="L17" s="21"/>
    </row>
    <row r="18" spans="1:14" x14ac:dyDescent="0.25">
      <c r="A18" s="2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21"/>
    </row>
    <row r="19" spans="1:14" x14ac:dyDescent="0.25">
      <c r="A19" s="24"/>
      <c r="B19" s="184" t="s">
        <v>8</v>
      </c>
      <c r="C19" s="184"/>
      <c r="D19" s="184"/>
      <c r="E19" s="184"/>
      <c r="F19" s="184"/>
      <c r="G19" s="184"/>
      <c r="H19" s="184"/>
      <c r="I19" s="184"/>
      <c r="J19" s="184" t="s">
        <v>9</v>
      </c>
      <c r="K19" s="185" t="s">
        <v>10</v>
      </c>
      <c r="L19" s="21"/>
    </row>
    <row r="20" spans="1:14" x14ac:dyDescent="0.25">
      <c r="A20" s="24"/>
      <c r="B20" s="184"/>
      <c r="C20" s="184"/>
      <c r="D20" s="184"/>
      <c r="E20" s="184"/>
      <c r="F20" s="184"/>
      <c r="G20" s="184"/>
      <c r="H20" s="184"/>
      <c r="I20" s="184"/>
      <c r="J20" s="184"/>
      <c r="K20" s="185"/>
      <c r="L20" s="21"/>
    </row>
    <row r="21" spans="1:14" ht="15" customHeight="1" x14ac:dyDescent="0.25">
      <c r="A21" s="24"/>
      <c r="B21" s="176" t="s">
        <v>32</v>
      </c>
      <c r="C21" s="176"/>
      <c r="D21" s="176"/>
      <c r="E21" s="176"/>
      <c r="F21" s="176"/>
      <c r="G21" s="176"/>
      <c r="H21" s="176"/>
      <c r="I21" s="176"/>
      <c r="J21" s="1" t="s">
        <v>33</v>
      </c>
      <c r="K21" s="2">
        <v>3.7999999999999999E-2</v>
      </c>
      <c r="L21" s="21"/>
      <c r="N21">
        <v>3.7999999999999999E-2</v>
      </c>
    </row>
    <row r="22" spans="1:14" ht="15" customHeight="1" x14ac:dyDescent="0.25">
      <c r="A22" s="24"/>
      <c r="B22" s="176" t="s">
        <v>34</v>
      </c>
      <c r="C22" s="176"/>
      <c r="D22" s="176"/>
      <c r="E22" s="176"/>
      <c r="F22" s="176"/>
      <c r="G22" s="176"/>
      <c r="H22" s="176"/>
      <c r="I22" s="176"/>
      <c r="J22" s="1" t="s">
        <v>35</v>
      </c>
      <c r="K22" s="2">
        <v>3.2000000000000002E-3</v>
      </c>
      <c r="L22" s="21"/>
      <c r="N22">
        <v>3.2000000000000002E-3</v>
      </c>
    </row>
    <row r="23" spans="1:14" x14ac:dyDescent="0.25">
      <c r="A23" s="24"/>
      <c r="B23" s="176" t="s">
        <v>36</v>
      </c>
      <c r="C23" s="176"/>
      <c r="D23" s="176"/>
      <c r="E23" s="176"/>
      <c r="F23" s="176"/>
      <c r="G23" s="176"/>
      <c r="H23" s="176"/>
      <c r="I23" s="176"/>
      <c r="J23" s="1" t="s">
        <v>37</v>
      </c>
      <c r="K23" s="2">
        <v>5.0000000000000001E-3</v>
      </c>
      <c r="L23" s="21"/>
      <c r="N23">
        <v>5.0000000000000001E-3</v>
      </c>
    </row>
    <row r="24" spans="1:14" x14ac:dyDescent="0.25">
      <c r="A24" s="24"/>
      <c r="B24" s="176" t="s">
        <v>38</v>
      </c>
      <c r="C24" s="176"/>
      <c r="D24" s="176"/>
      <c r="E24" s="176"/>
      <c r="F24" s="176"/>
      <c r="G24" s="176"/>
      <c r="H24" s="176"/>
      <c r="I24" s="176"/>
      <c r="J24" s="1" t="s">
        <v>39</v>
      </c>
      <c r="K24" s="2">
        <v>1.0200000000000001E-2</v>
      </c>
      <c r="L24" s="21"/>
      <c r="N24">
        <v>1.0200000000000001E-2</v>
      </c>
    </row>
    <row r="25" spans="1:14" ht="15" customHeight="1" x14ac:dyDescent="0.25">
      <c r="A25" s="24"/>
      <c r="B25" s="176" t="s">
        <v>40</v>
      </c>
      <c r="C25" s="176"/>
      <c r="D25" s="176"/>
      <c r="E25" s="176"/>
      <c r="F25" s="176"/>
      <c r="G25" s="176"/>
      <c r="H25" s="176"/>
      <c r="I25" s="176"/>
      <c r="J25" s="1" t="s">
        <v>41</v>
      </c>
      <c r="K25" s="2">
        <v>6.6400000000000001E-2</v>
      </c>
      <c r="L25" s="21"/>
      <c r="N25">
        <v>6.6400000000000001E-2</v>
      </c>
    </row>
    <row r="26" spans="1:14" ht="15" customHeight="1" x14ac:dyDescent="0.25">
      <c r="A26" s="24"/>
      <c r="B26" s="176" t="s">
        <v>11</v>
      </c>
      <c r="C26" s="176"/>
      <c r="D26" s="176"/>
      <c r="E26" s="176"/>
      <c r="F26" s="176"/>
      <c r="G26" s="176"/>
      <c r="H26" s="176"/>
      <c r="I26" s="176"/>
      <c r="J26" s="1" t="s">
        <v>12</v>
      </c>
      <c r="K26" s="2">
        <v>3.6499999999999998E-2</v>
      </c>
      <c r="L26" s="21"/>
      <c r="N26">
        <v>3.6499999999999998E-2</v>
      </c>
    </row>
    <row r="27" spans="1:14" ht="15" customHeight="1" x14ac:dyDescent="0.25">
      <c r="A27" s="24"/>
      <c r="B27" s="176" t="s">
        <v>13</v>
      </c>
      <c r="C27" s="176"/>
      <c r="D27" s="176"/>
      <c r="E27" s="176"/>
      <c r="F27" s="176"/>
      <c r="G27" s="176"/>
      <c r="H27" s="176"/>
      <c r="I27" s="176"/>
      <c r="J27" s="1" t="s">
        <v>14</v>
      </c>
      <c r="K27" s="3">
        <v>0.05</v>
      </c>
      <c r="L27" s="21"/>
      <c r="N27">
        <v>0.05</v>
      </c>
    </row>
    <row r="28" spans="1:14" ht="15" customHeight="1" x14ac:dyDescent="0.25">
      <c r="A28" s="24"/>
      <c r="B28" s="176" t="s">
        <v>137</v>
      </c>
      <c r="C28" s="176"/>
      <c r="D28" s="176"/>
      <c r="E28" s="176"/>
      <c r="F28" s="176"/>
      <c r="G28" s="176"/>
      <c r="H28" s="176"/>
      <c r="I28" s="176"/>
      <c r="J28" s="1" t="s">
        <v>15</v>
      </c>
      <c r="K28" s="3">
        <v>3.5999999999999997E-2</v>
      </c>
      <c r="L28" s="21"/>
      <c r="N28">
        <v>3.6000000000000004E-2</v>
      </c>
    </row>
    <row r="29" spans="1:14" ht="15" customHeight="1" x14ac:dyDescent="0.25">
      <c r="A29" s="24"/>
      <c r="B29" s="176" t="s">
        <v>16</v>
      </c>
      <c r="C29" s="176"/>
      <c r="D29" s="176"/>
      <c r="E29" s="176"/>
      <c r="F29" s="176"/>
      <c r="G29" s="176"/>
      <c r="H29" s="176"/>
      <c r="I29" s="176"/>
      <c r="J29" s="4" t="s">
        <v>17</v>
      </c>
      <c r="K29" s="3">
        <v>0.23380000000000001</v>
      </c>
      <c r="L29" s="21"/>
      <c r="N29">
        <v>0.23380000000000001</v>
      </c>
    </row>
    <row r="30" spans="1:14" ht="15" customHeight="1" x14ac:dyDescent="0.25">
      <c r="A30" s="24"/>
      <c r="B30" s="177" t="s">
        <v>18</v>
      </c>
      <c r="C30" s="177"/>
      <c r="D30" s="177"/>
      <c r="E30" s="177"/>
      <c r="F30" s="177"/>
      <c r="G30" s="177"/>
      <c r="H30" s="177"/>
      <c r="I30" s="177"/>
      <c r="J30" s="5" t="s">
        <v>19</v>
      </c>
      <c r="K30" s="6">
        <v>0.28439999999999999</v>
      </c>
      <c r="L30" s="21"/>
      <c r="N30">
        <v>0.28439999999999999</v>
      </c>
    </row>
    <row r="31" spans="1:14" x14ac:dyDescent="0.25">
      <c r="A31" s="24"/>
      <c r="B31" s="178" t="s">
        <v>20</v>
      </c>
      <c r="C31" s="178"/>
      <c r="D31" s="178"/>
      <c r="E31" s="178"/>
      <c r="F31" s="178"/>
      <c r="G31" s="178"/>
      <c r="H31" s="178"/>
      <c r="I31" s="178"/>
      <c r="J31" s="178"/>
      <c r="K31" s="178"/>
      <c r="L31" s="21"/>
    </row>
    <row r="32" spans="1:14" ht="15.75" x14ac:dyDescent="0.25">
      <c r="A32" s="24"/>
      <c r="B32" s="8"/>
      <c r="C32" s="8"/>
      <c r="D32" s="8"/>
      <c r="E32" s="171" t="s">
        <v>21</v>
      </c>
      <c r="F32" s="172" t="s">
        <v>42</v>
      </c>
      <c r="G32" s="172"/>
      <c r="H32" s="172"/>
      <c r="I32" s="173" t="s">
        <v>22</v>
      </c>
      <c r="J32" s="8"/>
      <c r="K32" s="8"/>
      <c r="L32" s="21"/>
    </row>
    <row r="33" spans="1:12" ht="15.75" x14ac:dyDescent="0.25">
      <c r="A33" s="24"/>
      <c r="B33" s="8"/>
      <c r="C33" s="8"/>
      <c r="D33" s="8"/>
      <c r="E33" s="171"/>
      <c r="F33" s="174" t="s">
        <v>23</v>
      </c>
      <c r="G33" s="174"/>
      <c r="H33" s="174"/>
      <c r="I33" s="173"/>
      <c r="J33" s="8"/>
      <c r="K33" s="8"/>
      <c r="L33" s="21"/>
    </row>
    <row r="34" spans="1:12" x14ac:dyDescent="0.25">
      <c r="A34" s="24"/>
      <c r="B34" s="9"/>
      <c r="C34" s="9"/>
      <c r="D34" s="9"/>
      <c r="E34" s="9"/>
      <c r="F34" s="9"/>
      <c r="G34" s="9"/>
      <c r="H34" s="9"/>
      <c r="I34" s="9"/>
      <c r="J34" s="9"/>
      <c r="K34" s="9"/>
      <c r="L34" s="21"/>
    </row>
    <row r="35" spans="1:12" ht="30.75" customHeight="1" x14ac:dyDescent="0.25">
      <c r="A35" s="24"/>
      <c r="B35" s="175" t="s">
        <v>47</v>
      </c>
      <c r="C35" s="175"/>
      <c r="D35" s="175"/>
      <c r="E35" s="175"/>
      <c r="F35" s="175"/>
      <c r="G35" s="175"/>
      <c r="H35" s="175"/>
      <c r="I35" s="175"/>
      <c r="J35" s="175"/>
      <c r="K35" s="175"/>
      <c r="L35" s="21"/>
    </row>
    <row r="36" spans="1:12" x14ac:dyDescent="0.25">
      <c r="A36" s="24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21"/>
    </row>
    <row r="37" spans="1:12" ht="32.25" customHeight="1" x14ac:dyDescent="0.25">
      <c r="A37" s="24"/>
      <c r="B37" s="175" t="s">
        <v>119</v>
      </c>
      <c r="C37" s="175"/>
      <c r="D37" s="175"/>
      <c r="E37" s="175"/>
      <c r="F37" s="175"/>
      <c r="G37" s="175"/>
      <c r="H37" s="175"/>
      <c r="I37" s="175"/>
      <c r="J37" s="175"/>
      <c r="K37" s="175"/>
      <c r="L37" s="21"/>
    </row>
    <row r="38" spans="1:12" x14ac:dyDescent="0.25">
      <c r="A38" s="2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21"/>
    </row>
    <row r="39" spans="1:12" x14ac:dyDescent="0.25">
      <c r="A39" s="24"/>
      <c r="B39" s="10" t="s">
        <v>24</v>
      </c>
      <c r="C39" s="10"/>
      <c r="D39" s="10"/>
      <c r="E39" s="10"/>
      <c r="F39" s="10"/>
      <c r="G39" s="10"/>
      <c r="H39" s="10"/>
      <c r="I39" s="10"/>
      <c r="J39" s="10"/>
      <c r="K39" s="10"/>
      <c r="L39" s="21"/>
    </row>
    <row r="40" spans="1:12" x14ac:dyDescent="0.25">
      <c r="A40" s="24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21"/>
    </row>
    <row r="41" spans="1:12" x14ac:dyDescent="0.25">
      <c r="A41" s="2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21"/>
    </row>
    <row r="42" spans="1:12" x14ac:dyDescent="0.25">
      <c r="A42" s="24"/>
      <c r="B42" s="166" t="str">
        <f>Import.Município</f>
        <v>São João da Lagoa  MG</v>
      </c>
      <c r="C42" s="166"/>
      <c r="D42" s="166"/>
      <c r="E42" s="166"/>
      <c r="F42" s="10"/>
      <c r="G42" s="10"/>
      <c r="H42" s="167" t="s">
        <v>146</v>
      </c>
      <c r="I42" s="167"/>
      <c r="J42" s="167"/>
      <c r="K42" s="167"/>
      <c r="L42" s="21"/>
    </row>
    <row r="43" spans="1:12" x14ac:dyDescent="0.25">
      <c r="A43" s="24"/>
      <c r="B43" s="168" t="s">
        <v>25</v>
      </c>
      <c r="C43" s="168"/>
      <c r="D43" s="168"/>
      <c r="E43" s="168"/>
      <c r="F43" s="10"/>
      <c r="G43" s="11"/>
      <c r="H43" s="12" t="s">
        <v>26</v>
      </c>
      <c r="I43" s="13"/>
      <c r="J43" s="13"/>
      <c r="K43" s="13"/>
      <c r="L43" s="21"/>
    </row>
    <row r="44" spans="1:12" x14ac:dyDescent="0.25">
      <c r="A44" s="2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1"/>
    </row>
    <row r="45" spans="1:12" x14ac:dyDescent="0.25">
      <c r="A45" s="2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1"/>
    </row>
    <row r="46" spans="1:12" ht="21" customHeight="1" x14ac:dyDescent="0.25">
      <c r="A46" s="24"/>
      <c r="B46" s="169"/>
      <c r="C46" s="169"/>
      <c r="D46" s="169"/>
      <c r="E46" s="169"/>
      <c r="F46" s="14"/>
      <c r="G46" s="10"/>
      <c r="H46" s="10"/>
      <c r="I46" s="10"/>
      <c r="J46" s="10"/>
      <c r="K46" s="10"/>
      <c r="L46" s="21"/>
    </row>
    <row r="47" spans="1:12" x14ac:dyDescent="0.25">
      <c r="A47" s="24"/>
      <c r="B47" s="170" t="s">
        <v>27</v>
      </c>
      <c r="C47" s="170"/>
      <c r="D47" s="170"/>
      <c r="E47" s="170"/>
      <c r="F47" s="10"/>
      <c r="G47" s="10"/>
      <c r="H47" s="10"/>
      <c r="I47" s="10"/>
      <c r="J47" s="10"/>
      <c r="K47" s="10"/>
      <c r="L47" s="21"/>
    </row>
    <row r="48" spans="1:12" x14ac:dyDescent="0.25">
      <c r="A48" s="24"/>
      <c r="B48" s="15" t="s">
        <v>28</v>
      </c>
      <c r="C48" s="157" t="s">
        <v>43</v>
      </c>
      <c r="D48" s="157"/>
      <c r="E48" s="157"/>
      <c r="F48" s="14"/>
      <c r="G48" s="10"/>
      <c r="H48" s="10"/>
      <c r="I48" s="10"/>
      <c r="J48" s="10"/>
      <c r="K48" s="10"/>
      <c r="L48" s="21"/>
    </row>
    <row r="49" spans="1:12" x14ac:dyDescent="0.25">
      <c r="A49" s="24"/>
      <c r="B49" s="15" t="s">
        <v>29</v>
      </c>
      <c r="C49" s="158" t="s">
        <v>44</v>
      </c>
      <c r="D49" s="158"/>
      <c r="E49" s="158"/>
      <c r="F49" s="14"/>
      <c r="G49" s="10"/>
      <c r="H49" s="10"/>
      <c r="I49" s="10"/>
      <c r="J49" s="10"/>
      <c r="K49" s="10"/>
      <c r="L49" s="21"/>
    </row>
    <row r="50" spans="1:12" x14ac:dyDescent="0.25">
      <c r="A50" s="24"/>
      <c r="B50" s="15" t="s">
        <v>30</v>
      </c>
      <c r="C50" s="158"/>
      <c r="D50" s="158"/>
      <c r="E50" s="158"/>
      <c r="F50" s="14"/>
      <c r="G50" s="10"/>
      <c r="H50" s="10"/>
      <c r="I50" s="10"/>
      <c r="J50" s="10"/>
      <c r="K50" s="10"/>
      <c r="L50" s="21"/>
    </row>
    <row r="51" spans="1:12" x14ac:dyDescent="0.25">
      <c r="A51" s="25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3"/>
    </row>
  </sheetData>
  <mergeCells count="43">
    <mergeCell ref="J2:K2"/>
    <mergeCell ref="J3:K3"/>
    <mergeCell ref="B8:K8"/>
    <mergeCell ref="B9:K9"/>
    <mergeCell ref="B11:I11"/>
    <mergeCell ref="J11:K11"/>
    <mergeCell ref="B2:I2"/>
    <mergeCell ref="B12:I12"/>
    <mergeCell ref="J12:K12"/>
    <mergeCell ref="B26:I26"/>
    <mergeCell ref="B14:K14"/>
    <mergeCell ref="B16:K16"/>
    <mergeCell ref="B17:K17"/>
    <mergeCell ref="B19:I20"/>
    <mergeCell ref="J19:J20"/>
    <mergeCell ref="K19:K20"/>
    <mergeCell ref="B21:I21"/>
    <mergeCell ref="B22:I22"/>
    <mergeCell ref="B23:I23"/>
    <mergeCell ref="B24:I24"/>
    <mergeCell ref="B25:I25"/>
    <mergeCell ref="B37:K37"/>
    <mergeCell ref="B27:I27"/>
    <mergeCell ref="B28:I28"/>
    <mergeCell ref="B29:I29"/>
    <mergeCell ref="B30:I30"/>
    <mergeCell ref="B31:K31"/>
    <mergeCell ref="C48:E48"/>
    <mergeCell ref="C49:E49"/>
    <mergeCell ref="C50:E50"/>
    <mergeCell ref="B5:K5"/>
    <mergeCell ref="B6:K6"/>
    <mergeCell ref="B40:K40"/>
    <mergeCell ref="B42:E42"/>
    <mergeCell ref="H42:K42"/>
    <mergeCell ref="B43:E43"/>
    <mergeCell ref="B46:E46"/>
    <mergeCell ref="B47:E47"/>
    <mergeCell ref="E32:E33"/>
    <mergeCell ref="F32:H32"/>
    <mergeCell ref="I32:I33"/>
    <mergeCell ref="F33:H33"/>
    <mergeCell ref="B35:K35"/>
  </mergeCells>
  <conditionalFormatting sqref="B30:K30">
    <cfRule type="expression" dxfId="42" priority="1" stopIfTrue="1">
      <formula>DESONERACAO="não"</formula>
    </cfRule>
  </conditionalFormatting>
  <conditionalFormatting sqref="K29">
    <cfRule type="expression" dxfId="41" priority="3" stopIfTrue="1">
      <formula>DESONERACAO="não"</formula>
    </cfRule>
  </conditionalFormatting>
  <dataValidations count="6">
    <dataValidation type="list" allowBlank="1" showErrorMessage="1" sqref="B17:K17" xr:uid="{0DE7769E-55A6-4F7F-98EF-0838690F1A7B}">
      <formula1>BDI.TipoObra</formula1>
      <formula2>0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J11:K11" xr:uid="{1971DE07-6DAA-41FB-93C4-031D31A52B60}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J12:K12" xr:uid="{770DE75F-DA5C-4C7D-8085-3F05D32ACB86}">
      <formula1>0</formula1>
      <formula2>0</formula2>
    </dataValidation>
    <dataValidation operator="greaterThanOrEqual" allowBlank="1" showErrorMessage="1" errorTitle="Erro de valores" error="Digite um valor igual a 0% ou 2%." sqref="K28" xr:uid="{C742FDE1-53B6-46C5-9B54-E41F76119867}">
      <formula1>0</formula1>
      <formula2>0</formula2>
    </dataValidation>
    <dataValidation type="decimal" allowBlank="1" showErrorMessage="1" errorTitle="Erro de valores" error="Digite um valor maior do que 0." sqref="K27" xr:uid="{46C69B21-8752-464A-B2AB-E0C9B550B53F}">
      <formula1>0</formula1>
      <formula2>1</formula2>
    </dataValidation>
    <dataValidation type="decimal" allowBlank="1" showErrorMessage="1" errorTitle="Erro de valores" error="Digite um valor entre 0% e 100%" sqref="K21:K26" xr:uid="{791AE634-D4FD-447A-8026-4C24C53FA407}">
      <formula1>0</formula1>
      <formula2>1</formula2>
    </dataValidation>
  </dataValidations>
  <pageMargins left="0.511811024" right="0.511811024" top="0.78740157499999996" bottom="0.78740157499999996" header="0.31496062000000002" footer="0.31496062000000002"/>
  <pageSetup paperSize="9"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C99E-EF6E-4914-B784-257BDBE626D4}">
  <dimension ref="A1:N36"/>
  <sheetViews>
    <sheetView workbookViewId="0">
      <selection activeCell="B34" sqref="B34:D34"/>
    </sheetView>
  </sheetViews>
  <sheetFormatPr defaultRowHeight="15" x14ac:dyDescent="0.25"/>
  <cols>
    <col min="1" max="1" width="0.85546875" customWidth="1"/>
    <col min="2" max="2" width="12.7109375" customWidth="1"/>
    <col min="3" max="4" width="15.7109375" customWidth="1"/>
    <col min="5" max="5" width="65.7109375" customWidth="1"/>
    <col min="6" max="6" width="10.7109375" customWidth="1"/>
    <col min="7" max="8" width="14.7109375" customWidth="1"/>
    <col min="9" max="9" width="12.85546875" customWidth="1"/>
    <col min="10" max="10" width="14.7109375" customWidth="1"/>
    <col min="11" max="11" width="18" customWidth="1"/>
    <col min="12" max="12" width="1.28515625" customWidth="1"/>
    <col min="14" max="14" width="11.5703125" bestFit="1" customWidth="1"/>
  </cols>
  <sheetData>
    <row r="1" spans="1:14" ht="4.5" customHeight="1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ht="15.75" x14ac:dyDescent="0.25">
      <c r="A2" s="24"/>
      <c r="B2" s="196" t="s">
        <v>48</v>
      </c>
      <c r="C2" s="196"/>
      <c r="D2" s="196"/>
      <c r="E2" s="196"/>
      <c r="F2" s="196"/>
      <c r="G2" s="196"/>
      <c r="H2" s="196"/>
      <c r="I2" s="196"/>
      <c r="J2" s="197"/>
      <c r="K2" s="18" t="s">
        <v>0</v>
      </c>
      <c r="L2" s="21"/>
    </row>
    <row r="3" spans="1:14" x14ac:dyDescent="0.25">
      <c r="A3" s="24"/>
      <c r="B3" s="198"/>
      <c r="C3" s="198"/>
      <c r="D3" s="198"/>
      <c r="E3" s="198"/>
      <c r="F3" s="198"/>
      <c r="G3" s="198"/>
      <c r="H3" s="198"/>
      <c r="I3" s="198"/>
      <c r="J3" s="199"/>
      <c r="K3" s="19" t="s">
        <v>1</v>
      </c>
      <c r="L3" s="21"/>
    </row>
    <row r="4" spans="1:14" x14ac:dyDescent="0.25">
      <c r="A4" s="24"/>
      <c r="B4" s="159" t="s">
        <v>2</v>
      </c>
      <c r="C4" s="160"/>
      <c r="D4" s="206"/>
      <c r="E4" s="160"/>
      <c r="F4" s="160"/>
      <c r="G4" s="160"/>
      <c r="H4" s="160"/>
      <c r="I4" s="160"/>
      <c r="J4" s="160"/>
      <c r="K4" s="161"/>
      <c r="L4" s="21"/>
    </row>
    <row r="5" spans="1:14" ht="15" customHeight="1" x14ac:dyDescent="0.25">
      <c r="A5" s="24"/>
      <c r="B5" s="162" t="s">
        <v>31</v>
      </c>
      <c r="C5" s="163"/>
      <c r="D5" s="163"/>
      <c r="E5" s="207"/>
      <c r="F5" s="208"/>
      <c r="G5" s="208"/>
      <c r="H5" s="208"/>
      <c r="I5" s="208"/>
      <c r="J5" s="208"/>
      <c r="K5" s="209"/>
      <c r="L5" s="21"/>
    </row>
    <row r="6" spans="1:14" x14ac:dyDescent="0.25">
      <c r="A6" s="24"/>
      <c r="B6" s="79"/>
      <c r="C6" s="79"/>
      <c r="D6" s="80"/>
      <c r="E6" s="80"/>
      <c r="F6" s="79"/>
      <c r="G6" s="79"/>
      <c r="H6" s="79"/>
      <c r="I6" s="79"/>
      <c r="J6" s="79"/>
      <c r="K6" s="79"/>
      <c r="L6" s="21"/>
    </row>
    <row r="7" spans="1:14" ht="18" customHeight="1" x14ac:dyDescent="0.25">
      <c r="A7" s="24"/>
      <c r="B7" s="202" t="s">
        <v>49</v>
      </c>
      <c r="C7" s="203"/>
      <c r="D7" s="81" t="s">
        <v>50</v>
      </c>
      <c r="E7" s="82" t="s">
        <v>45</v>
      </c>
      <c r="F7" s="201" t="s">
        <v>73</v>
      </c>
      <c r="G7" s="201"/>
      <c r="H7" s="201"/>
      <c r="I7" s="84" t="s">
        <v>5</v>
      </c>
      <c r="J7" s="83" t="s">
        <v>74</v>
      </c>
      <c r="K7" s="84" t="s">
        <v>75</v>
      </c>
      <c r="L7" s="21"/>
    </row>
    <row r="8" spans="1:14" ht="45" x14ac:dyDescent="0.25">
      <c r="A8" s="24"/>
      <c r="B8" s="204" t="s">
        <v>70</v>
      </c>
      <c r="C8" s="205"/>
      <c r="D8" s="85" t="s">
        <v>139</v>
      </c>
      <c r="E8" s="86" t="str">
        <f>BDI!B9</f>
        <v>Execução de Pavimentação em blocos sextavados em vias publicas do Distrito de São Roberto de Minas e na Sede, Zona Urbana do município de São João da Lagoa</v>
      </c>
      <c r="F8" s="200" t="s">
        <v>72</v>
      </c>
      <c r="G8" s="200"/>
      <c r="H8" s="200"/>
      <c r="I8" s="153">
        <f>BDI!K30</f>
        <v>0.28439999999999999</v>
      </c>
      <c r="J8" s="87" t="s">
        <v>71</v>
      </c>
      <c r="K8" s="88" t="s">
        <v>71</v>
      </c>
      <c r="L8" s="21"/>
    </row>
    <row r="9" spans="1:14" x14ac:dyDescent="0.25">
      <c r="A9" s="24"/>
      <c r="B9" s="193"/>
      <c r="C9" s="194"/>
      <c r="D9" s="194"/>
      <c r="E9" s="194"/>
      <c r="F9" s="194"/>
      <c r="G9" s="194"/>
      <c r="H9" s="194"/>
      <c r="I9" s="194"/>
      <c r="J9" s="194"/>
      <c r="K9" s="195"/>
      <c r="L9" s="21"/>
    </row>
    <row r="10" spans="1:14" ht="25.5" x14ac:dyDescent="0.25">
      <c r="A10" s="24"/>
      <c r="B10" s="32" t="s">
        <v>51</v>
      </c>
      <c r="C10" s="32" t="s">
        <v>52</v>
      </c>
      <c r="D10" s="32" t="s">
        <v>53</v>
      </c>
      <c r="E10" s="32" t="s">
        <v>54</v>
      </c>
      <c r="F10" s="33" t="s">
        <v>55</v>
      </c>
      <c r="G10" s="32" t="s">
        <v>56</v>
      </c>
      <c r="H10" s="32" t="str">
        <f>IF(TIPOORCAMENTO="Licitado","","Custo Unitário (sem BDI) (R$)")</f>
        <v>Custo Unitário (sem BDI) (R$)</v>
      </c>
      <c r="I10" s="32" t="str">
        <f>IF(TIPOORCAMENTO="Licitado","","BDI
(%)")</f>
        <v>BDI
(%)</v>
      </c>
      <c r="J10" s="32" t="s">
        <v>57</v>
      </c>
      <c r="K10" s="32" t="s">
        <v>58</v>
      </c>
      <c r="L10" s="21"/>
    </row>
    <row r="11" spans="1:14" ht="26.25" customHeight="1" x14ac:dyDescent="0.25">
      <c r="A11" s="24"/>
      <c r="B11" s="210" t="str">
        <f>E8</f>
        <v>Execução de Pavimentação em blocos sextavados em vias publicas do Distrito de São Roberto de Minas e na Sede, Zona Urbana do município de São João da Lagoa</v>
      </c>
      <c r="C11" s="210"/>
      <c r="D11" s="210"/>
      <c r="E11" s="210"/>
      <c r="F11" s="34"/>
      <c r="G11" s="35"/>
      <c r="H11" s="35"/>
      <c r="I11" s="36"/>
      <c r="J11" s="35"/>
      <c r="K11" s="37">
        <f>K12</f>
        <v>663608.76</v>
      </c>
      <c r="L11" s="21"/>
      <c r="N11" s="146">
        <f>K11*0.8</f>
        <v>530887.00800000003</v>
      </c>
    </row>
    <row r="12" spans="1:14" ht="60" x14ac:dyDescent="0.25">
      <c r="A12" s="24"/>
      <c r="B12" s="38" t="str">
        <f ca="1">IF(OR($B12=0,$K12=""),"-",CONCATENATE(#REF!&amp;".",IF(AND(#REF!&gt;=2,$B12&gt;=2),#REF!&amp;".",""),IF(AND(#REF!&gt;=3,$B12&gt;=3),#REF!&amp;".",""),IF(AND(#REF!&gt;=4,$B12&gt;=4),#REF!&amp;".",""),IF($B12="S",#REF!&amp;".","")))</f>
        <v>1.</v>
      </c>
      <c r="C12" s="39"/>
      <c r="D12" s="40"/>
      <c r="E12" s="41" t="s">
        <v>145</v>
      </c>
      <c r="F12" s="42"/>
      <c r="G12" s="43"/>
      <c r="H12" s="44"/>
      <c r="I12" s="45"/>
      <c r="J12" s="43">
        <f ca="1">IF($B12="S",ROUND(IF(TIPOORCAMENTO="Proposto",ORÇAMENTO.CustoUnitario*(1+$AG12),ORÇAMENTO.PrecoUnitarioLicitado),15-13*#REF!),0)</f>
        <v>0</v>
      </c>
      <c r="K12" s="46">
        <f>K13+K17+K15+K19</f>
        <v>663608.76</v>
      </c>
      <c r="L12" s="21"/>
    </row>
    <row r="13" spans="1:14" ht="21.75" customHeight="1" x14ac:dyDescent="0.25">
      <c r="A13" s="24"/>
      <c r="B13" s="47" t="str">
        <f ca="1">IF(OR($B13=0,$K13=""),"-",CONCATENATE(#REF!&amp;".",IF(AND(#REF!&gt;=2,$B13&gt;=2),#REF!&amp;".",""),IF(AND(#REF!&gt;=3,$B13&gt;=3),#REF!&amp;".",""),IF(AND(#REF!&gt;=4,$B13&gt;=4),#REF!&amp;".",""),IF($B13="S",#REF!&amp;".","")))</f>
        <v>1.1.</v>
      </c>
      <c r="C13" s="48"/>
      <c r="D13" s="49"/>
      <c r="E13" s="50" t="s">
        <v>60</v>
      </c>
      <c r="F13" s="51"/>
      <c r="G13" s="52"/>
      <c r="H13" s="53"/>
      <c r="I13" s="54"/>
      <c r="J13" s="52"/>
      <c r="K13" s="55">
        <f>SUM(K14:K14)</f>
        <v>1451.72</v>
      </c>
      <c r="L13" s="21"/>
    </row>
    <row r="14" spans="1:14" ht="75" x14ac:dyDescent="0.25">
      <c r="A14" s="24"/>
      <c r="B14" s="56" t="str">
        <f ca="1">IF(OR($B14=0,$K14=""),"-",CONCATENATE(#REF!&amp;".",IF(AND(#REF!&gt;=2,$B14&gt;=2),#REF!&amp;".",""),IF(AND(#REF!&gt;=3,$B14&gt;=3),#REF!&amp;".",""),IF(AND(#REF!&gt;=4,$B14&gt;=4),#REF!&amp;".",""),IF($B14="S",#REF!&amp;".","")))</f>
        <v>1.1.1.</v>
      </c>
      <c r="C14" s="57" t="s">
        <v>61</v>
      </c>
      <c r="D14" s="58" t="s">
        <v>62</v>
      </c>
      <c r="E14" s="59" t="s">
        <v>81</v>
      </c>
      <c r="F14" s="60" t="s">
        <v>98</v>
      </c>
      <c r="G14" s="61">
        <f>'MEMÓRIA DE CÁLCULO'!E13</f>
        <v>1</v>
      </c>
      <c r="H14" s="152">
        <v>1130.27</v>
      </c>
      <c r="I14" s="63" t="s">
        <v>5</v>
      </c>
      <c r="J14" s="61">
        <f>ROUND(H14*1.2844,2)</f>
        <v>1451.72</v>
      </c>
      <c r="K14" s="64">
        <f>ROUND(G14*J14,2)</f>
        <v>1451.72</v>
      </c>
      <c r="L14" s="21"/>
      <c r="N14" s="146" t="e">
        <f>K14+#REF!</f>
        <v>#REF!</v>
      </c>
    </row>
    <row r="15" spans="1:14" x14ac:dyDescent="0.25">
      <c r="A15" s="24"/>
      <c r="B15" s="47" t="str">
        <f ca="1">IF(OR($B15=0,$K15=""),"-",CONCATENATE(#REF!&amp;".",IF(AND(#REF!&gt;=2,$B15&gt;=2),#REF!&amp;".",""),IF(AND(#REF!&gt;=3,$B15&gt;=3),#REF!&amp;".",""),IF(AND(#REF!&gt;=4,$B15&gt;=4),#REF!&amp;".",""),IF($B15="S",#REF!&amp;".","")))</f>
        <v>1.2.</v>
      </c>
      <c r="C15" s="48"/>
      <c r="D15" s="49"/>
      <c r="E15" s="50" t="s">
        <v>63</v>
      </c>
      <c r="F15" s="51"/>
      <c r="G15" s="52">
        <v>0</v>
      </c>
      <c r="H15" s="53"/>
      <c r="I15" s="54"/>
      <c r="J15" s="52"/>
      <c r="K15" s="55">
        <v>0</v>
      </c>
      <c r="L15" s="21"/>
    </row>
    <row r="16" spans="1:14" x14ac:dyDescent="0.25">
      <c r="A16" s="24"/>
      <c r="B16" s="56" t="str">
        <f ca="1">IF(OR($B16=0,$K16=""),"-",CONCATENATE(#REF!&amp;".",IF(AND(#REF!&gt;=2,$B16&gt;=2),#REF!&amp;".",""),IF(AND(#REF!&gt;=3,$B16&gt;=3),#REF!&amp;".",""),IF(AND(#REF!&gt;=4,$B16&gt;=4),#REF!&amp;".",""),IF($B16="S",#REF!&amp;".","")))</f>
        <v>-</v>
      </c>
      <c r="C16" s="57" t="s">
        <v>59</v>
      </c>
      <c r="D16" s="58"/>
      <c r="E16" s="59" t="s">
        <v>64</v>
      </c>
      <c r="F16" s="60" t="str">
        <f t="shared" ref="F16" ca="1" si="0">REFERENCIA.Unidade</f>
        <v>-</v>
      </c>
      <c r="G16" s="61">
        <f>'MEMÓRIA DE CÁLCULO'!E15</f>
        <v>0</v>
      </c>
      <c r="H16" s="62"/>
      <c r="I16" s="63" t="s">
        <v>5</v>
      </c>
      <c r="J16" s="61">
        <f>ROUND(H16*1.2844,2)</f>
        <v>0</v>
      </c>
      <c r="K16" s="64">
        <v>0</v>
      </c>
      <c r="L16" s="21"/>
    </row>
    <row r="17" spans="1:14" x14ac:dyDescent="0.25">
      <c r="A17" s="24"/>
      <c r="B17" s="65" t="str">
        <f ca="1">IF(OR($B17=0,$K17=""),"-",CONCATENATE(#REF!&amp;".",IF(AND(#REF!&gt;=2,$B17&gt;=2),#REF!&amp;".",""),IF(AND(#REF!&gt;=3,$B17&gt;=3),#REF!&amp;".",""),IF(AND(#REF!&gt;=4,$B17&gt;=4),#REF!&amp;".",""),IF($B17="S",#REF!&amp;".","")))</f>
        <v>1.3.</v>
      </c>
      <c r="C17" s="66"/>
      <c r="D17" s="67"/>
      <c r="E17" s="50" t="s">
        <v>65</v>
      </c>
      <c r="F17" s="68"/>
      <c r="G17" s="69">
        <v>0</v>
      </c>
      <c r="H17" s="70"/>
      <c r="I17" s="71"/>
      <c r="J17" s="69"/>
      <c r="K17" s="55">
        <f>K18</f>
        <v>530663.80000000005</v>
      </c>
      <c r="L17" s="21"/>
    </row>
    <row r="18" spans="1:14" ht="30" x14ac:dyDescent="0.25">
      <c r="A18" s="24"/>
      <c r="B18" s="56" t="str">
        <f ca="1">IF(OR($B18=0,$K18=""),"-",CONCATENATE(#REF!&amp;".",IF(AND(#REF!&gt;=2,$B18&gt;=2),#REF!&amp;".",""),IF(AND(#REF!&gt;=3,$B18&gt;=3),#REF!&amp;".",""),IF(AND(#REF!&gt;=4,$B18&gt;=4),#REF!&amp;".",""),IF($B18="S",#REF!&amp;".","")))</f>
        <v>1.3.1.</v>
      </c>
      <c r="C18" s="57" t="s">
        <v>59</v>
      </c>
      <c r="D18" s="58" t="s">
        <v>66</v>
      </c>
      <c r="E18" s="59" t="s">
        <v>82</v>
      </c>
      <c r="F18" s="60" t="s">
        <v>99</v>
      </c>
      <c r="G18" s="61">
        <f>'MEMÓRIA DE CÁLCULO'!E17</f>
        <v>4706.9700000000012</v>
      </c>
      <c r="H18" s="152">
        <v>87.78</v>
      </c>
      <c r="I18" s="63" t="s">
        <v>5</v>
      </c>
      <c r="J18" s="61">
        <f>ROUND(H18*1.2844,2)</f>
        <v>112.74</v>
      </c>
      <c r="K18" s="64">
        <f>ROUND(G18*J18,2)</f>
        <v>530663.80000000005</v>
      </c>
      <c r="L18" s="21"/>
    </row>
    <row r="19" spans="1:14" x14ac:dyDescent="0.25">
      <c r="A19" s="24"/>
      <c r="B19" s="47" t="str">
        <f ca="1">IF(OR($B19=0,$K19=""),"-",CONCATENATE(#REF!&amp;".",IF(AND(#REF!&gt;=2,$B19&gt;=2),#REF!&amp;".",""),IF(AND(#REF!&gt;=3,$B19&gt;=3),#REF!&amp;".",""),IF(AND(#REF!&gt;=4,$B19&gt;=4),#REF!&amp;".",""),IF($B19="S",#REF!&amp;".","")))</f>
        <v>1.4.</v>
      </c>
      <c r="C19" s="48"/>
      <c r="D19" s="49"/>
      <c r="E19" s="50" t="s">
        <v>67</v>
      </c>
      <c r="F19" s="51"/>
      <c r="G19" s="52">
        <v>0</v>
      </c>
      <c r="H19" s="53"/>
      <c r="I19" s="54"/>
      <c r="J19" s="52">
        <f t="shared" ref="J19" si="1">ROUND(H19*1.2977,2)</f>
        <v>0</v>
      </c>
      <c r="K19" s="55">
        <f>SUM(K20:K22)</f>
        <v>131493.24</v>
      </c>
      <c r="L19" s="21"/>
      <c r="N19" s="72"/>
    </row>
    <row r="20" spans="1:14" ht="45" x14ac:dyDescent="0.25">
      <c r="A20" s="24"/>
      <c r="B20" s="56" t="str">
        <f ca="1">IF(OR($B20=0,$K20=""),"-",CONCATENATE(#REF!&amp;".",IF(AND(#REF!&gt;=2,$B20&gt;=2),#REF!&amp;".",""),IF(AND(#REF!&gt;=3,$B20&gt;=3),#REF!&amp;".",""),IF(AND(#REF!&gt;=4,$B20&gt;=4),#REF!&amp;".",""),IF($B20="S",#REF!&amp;".","")))</f>
        <v>1.4.1.</v>
      </c>
      <c r="C20" s="57" t="s">
        <v>59</v>
      </c>
      <c r="D20" s="58" t="s">
        <v>68</v>
      </c>
      <c r="E20" s="59" t="s">
        <v>83</v>
      </c>
      <c r="F20" s="60" t="s">
        <v>100</v>
      </c>
      <c r="G20" s="61">
        <f>'MEMÓRIA DE CÁLCULO'!E19</f>
        <v>1510.57</v>
      </c>
      <c r="H20" s="152">
        <v>60.59</v>
      </c>
      <c r="I20" s="63" t="s">
        <v>5</v>
      </c>
      <c r="J20" s="61">
        <f>ROUND(H20*1.2844,2)</f>
        <v>77.819999999999993</v>
      </c>
      <c r="K20" s="64">
        <f>ROUND(G20*J20,2)</f>
        <v>117552.56</v>
      </c>
      <c r="L20" s="21"/>
    </row>
    <row r="21" spans="1:14" ht="45" customHeight="1" x14ac:dyDescent="0.25">
      <c r="A21" s="24"/>
      <c r="B21" s="56" t="s">
        <v>113</v>
      </c>
      <c r="C21" s="57" t="s">
        <v>59</v>
      </c>
      <c r="D21" s="58" t="s">
        <v>114</v>
      </c>
      <c r="E21" s="59" t="s">
        <v>115</v>
      </c>
      <c r="F21" s="60" t="s">
        <v>100</v>
      </c>
      <c r="G21" s="61">
        <f>'MEMÓRIA DE CÁLCULO'!E20</f>
        <v>31.159999999999997</v>
      </c>
      <c r="H21" s="152">
        <v>66.39</v>
      </c>
      <c r="I21" s="63" t="s">
        <v>74</v>
      </c>
      <c r="J21" s="61">
        <f>ROUND(H21*1.2844,2)</f>
        <v>85.27</v>
      </c>
      <c r="K21" s="64">
        <f>ROUND(G21*J21,2)</f>
        <v>2657.01</v>
      </c>
      <c r="L21" s="21"/>
    </row>
    <row r="22" spans="1:14" ht="60" x14ac:dyDescent="0.25">
      <c r="A22" s="24"/>
      <c r="B22" s="56" t="str">
        <f ca="1">IF(OR($B22=0,$K22=""),"-",CONCATENATE(#REF!&amp;".",IF(AND(#REF!&gt;=2,$B22&gt;=2),#REF!&amp;".",""),IF(AND(#REF!&gt;=3,$B22&gt;=3),#REF!&amp;".",""),IF(AND(#REF!&gt;=4,$B22&gt;=4),#REF!&amp;".",""),IF($B22="S",#REF!&amp;".","")))</f>
        <v>1.4.2.</v>
      </c>
      <c r="C22" s="57" t="s">
        <v>59</v>
      </c>
      <c r="D22" s="58" t="s">
        <v>69</v>
      </c>
      <c r="E22" s="59" t="s">
        <v>84</v>
      </c>
      <c r="F22" s="60" t="s">
        <v>100</v>
      </c>
      <c r="G22" s="61">
        <f>'MEMÓRIA DE CÁLCULO'!E21</f>
        <v>139.03</v>
      </c>
      <c r="H22" s="152">
        <v>63.19</v>
      </c>
      <c r="I22" s="63" t="s">
        <v>5</v>
      </c>
      <c r="J22" s="61">
        <f>ROUND(H22*1.2844,2)</f>
        <v>81.16</v>
      </c>
      <c r="K22" s="64">
        <f>ROUND(G22*J22,2)</f>
        <v>11283.67</v>
      </c>
      <c r="L22" s="21"/>
    </row>
    <row r="23" spans="1:14" x14ac:dyDescent="0.25">
      <c r="A23" s="24"/>
      <c r="B23" s="29"/>
      <c r="C23" s="30"/>
      <c r="D23" s="30"/>
      <c r="E23" s="30"/>
      <c r="F23" s="30"/>
      <c r="G23" s="30"/>
      <c r="H23" s="30"/>
      <c r="I23" s="30"/>
      <c r="J23" s="30"/>
      <c r="K23" s="31"/>
      <c r="L23" s="21"/>
    </row>
    <row r="24" spans="1:14" x14ac:dyDescent="0.25">
      <c r="A24" s="2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21"/>
    </row>
    <row r="25" spans="1:14" x14ac:dyDescent="0.25">
      <c r="A25" s="24"/>
      <c r="B25" s="213" t="s">
        <v>24</v>
      </c>
      <c r="C25" s="214"/>
      <c r="D25" s="214"/>
      <c r="E25" s="214"/>
      <c r="F25" s="214"/>
      <c r="G25" s="214"/>
      <c r="H25" s="214"/>
      <c r="I25" s="214"/>
      <c r="J25" s="214"/>
      <c r="K25" s="215"/>
      <c r="L25" s="21"/>
    </row>
    <row r="26" spans="1:14" x14ac:dyDescent="0.25">
      <c r="A26" s="24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"/>
    </row>
    <row r="27" spans="1:14" x14ac:dyDescent="0.25">
      <c r="A27" s="24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"/>
    </row>
    <row r="28" spans="1:14" x14ac:dyDescent="0.25">
      <c r="A28" s="24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"/>
    </row>
    <row r="29" spans="1:14" x14ac:dyDescent="0.25">
      <c r="A29" s="24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21"/>
    </row>
    <row r="30" spans="1:14" x14ac:dyDescent="0.25">
      <c r="A30" s="2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21"/>
    </row>
    <row r="31" spans="1:14" x14ac:dyDescent="0.25">
      <c r="A31" s="24"/>
      <c r="B31" s="216" t="str">
        <f>BDI!B42</f>
        <v>São João da Lagoa  MG</v>
      </c>
      <c r="C31" s="216"/>
      <c r="D31" s="216"/>
      <c r="E31" s="17"/>
      <c r="F31" s="74"/>
      <c r="G31" s="74"/>
      <c r="H31" s="74"/>
      <c r="I31" s="74"/>
      <c r="J31" s="17"/>
      <c r="K31" s="17"/>
      <c r="L31" s="21"/>
    </row>
    <row r="32" spans="1:14" x14ac:dyDescent="0.25">
      <c r="A32" s="24"/>
      <c r="B32" s="75" t="s">
        <v>25</v>
      </c>
      <c r="C32" s="17"/>
      <c r="D32" s="17"/>
      <c r="E32" s="17"/>
      <c r="F32" s="76" t="s">
        <v>27</v>
      </c>
      <c r="G32" s="76"/>
      <c r="H32" s="76"/>
      <c r="I32" s="76"/>
      <c r="J32" s="17"/>
      <c r="K32" s="17"/>
      <c r="L32" s="21"/>
    </row>
    <row r="33" spans="1:12" x14ac:dyDescent="0.25">
      <c r="A33" s="24"/>
      <c r="B33" s="17"/>
      <c r="C33" s="17"/>
      <c r="D33" s="17"/>
      <c r="E33" s="17"/>
      <c r="F33" s="15" t="s">
        <v>28</v>
      </c>
      <c r="G33" s="212" t="s">
        <v>43</v>
      </c>
      <c r="H33" s="212"/>
      <c r="I33" s="212"/>
      <c r="J33" s="17"/>
      <c r="K33" s="17"/>
      <c r="L33" s="21"/>
    </row>
    <row r="34" spans="1:12" x14ac:dyDescent="0.25">
      <c r="A34" s="24"/>
      <c r="B34" s="217" t="str">
        <f>BDI!H42</f>
        <v>quinta-feira, 10 de julho de 2025</v>
      </c>
      <c r="C34" s="217"/>
      <c r="D34" s="217"/>
      <c r="E34" s="17"/>
      <c r="F34" s="15" t="s">
        <v>29</v>
      </c>
      <c r="G34" s="212" t="s">
        <v>44</v>
      </c>
      <c r="H34" s="212"/>
      <c r="I34" s="212"/>
      <c r="J34" s="17"/>
      <c r="K34" s="17"/>
      <c r="L34" s="21"/>
    </row>
    <row r="35" spans="1:12" x14ac:dyDescent="0.25">
      <c r="A35" s="24"/>
      <c r="B35" s="77" t="s">
        <v>26</v>
      </c>
      <c r="C35" s="78"/>
      <c r="D35" s="78"/>
      <c r="E35" s="17"/>
      <c r="F35" s="15" t="s">
        <v>30</v>
      </c>
      <c r="G35" s="212" t="s">
        <v>136</v>
      </c>
      <c r="H35" s="212"/>
      <c r="I35" s="212"/>
      <c r="J35" s="17"/>
      <c r="K35" s="17"/>
      <c r="L35" s="21"/>
    </row>
    <row r="36" spans="1:12" ht="7.5" customHeight="1" x14ac:dyDescent="0.25">
      <c r="A36" s="2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3"/>
    </row>
  </sheetData>
  <mergeCells count="19">
    <mergeCell ref="B11:E11"/>
    <mergeCell ref="B26:K28"/>
    <mergeCell ref="G33:I33"/>
    <mergeCell ref="G34:I34"/>
    <mergeCell ref="G35:I35"/>
    <mergeCell ref="B25:K25"/>
    <mergeCell ref="B31:D31"/>
    <mergeCell ref="B34:D34"/>
    <mergeCell ref="B9:K9"/>
    <mergeCell ref="B2:J2"/>
    <mergeCell ref="B3:J3"/>
    <mergeCell ref="F8:H8"/>
    <mergeCell ref="F7:H7"/>
    <mergeCell ref="B7:C7"/>
    <mergeCell ref="B8:C8"/>
    <mergeCell ref="B4:D4"/>
    <mergeCell ref="B5:D5"/>
    <mergeCell ref="E4:K4"/>
    <mergeCell ref="E5:K5"/>
  </mergeCells>
  <phoneticPr fontId="14" type="noConversion"/>
  <conditionalFormatting sqref="B9">
    <cfRule type="expression" dxfId="40" priority="47" stopIfTrue="1">
      <formula>ISERROR(INDIRECT(#REF!))</formula>
    </cfRule>
  </conditionalFormatting>
  <conditionalFormatting sqref="C12:D22">
    <cfRule type="expression" dxfId="39" priority="18" stopIfTrue="1">
      <formula>$B12=1</formula>
    </cfRule>
    <cfRule type="expression" dxfId="38" priority="19" stopIfTrue="1">
      <formula>OR($B12=0,$B12=2,$B12=3,$B12=4)</formula>
    </cfRule>
  </conditionalFormatting>
  <conditionalFormatting sqref="E12:E20 B12:B22 J12:K22">
    <cfRule type="expression" dxfId="37" priority="38" stopIfTrue="1">
      <formula>$B12=1</formula>
    </cfRule>
    <cfRule type="expression" dxfId="36" priority="39" stopIfTrue="1">
      <formula>OR($B12=0,$B12=2,$B12=3,$B12=4)</formula>
    </cfRule>
  </conditionalFormatting>
  <conditionalFormatting sqref="E22">
    <cfRule type="expression" dxfId="35" priority="13" stopIfTrue="1">
      <formula>$B22=1</formula>
    </cfRule>
    <cfRule type="expression" dxfId="34" priority="14" stopIfTrue="1">
      <formula>OR($B22=0,$B22=2,$B22=3,$B22=4)</formula>
    </cfRule>
  </conditionalFormatting>
  <conditionalFormatting sqref="F12:G22 E21:F21">
    <cfRule type="expression" dxfId="33" priority="26" stopIfTrue="1">
      <formula>$B12=1</formula>
    </cfRule>
  </conditionalFormatting>
  <conditionalFormatting sqref="F12:I13 F14:G14 F15:I17 F18:G22 E21:F21 I14 I18">
    <cfRule type="expression" dxfId="32" priority="27" stopIfTrue="1">
      <formula>OR($B12=0,$B12=2,$B12=3,$B12=4)</formula>
    </cfRule>
  </conditionalFormatting>
  <conditionalFormatting sqref="H14">
    <cfRule type="expression" dxfId="31" priority="1" stopIfTrue="1">
      <formula>$C14=1</formula>
    </cfRule>
    <cfRule type="expression" dxfId="30" priority="2" stopIfTrue="1">
      <formula>OR($C14=0,$C14=2,$C14=3,$C14=4)</formula>
    </cfRule>
    <cfRule type="expression" dxfId="29" priority="3" stopIfTrue="1">
      <formula>AND(TIPOORCAMENTO="Licitado",$C14&lt;&gt;"L",$C14&lt;&gt;-1)</formula>
    </cfRule>
  </conditionalFormatting>
  <conditionalFormatting sqref="H18">
    <cfRule type="expression" dxfId="28" priority="4" stopIfTrue="1">
      <formula>$C18=1</formula>
    </cfRule>
    <cfRule type="expression" dxfId="27" priority="5" stopIfTrue="1">
      <formula>OR($C18=0,$C18=2,$C18=3,$C18=4)</formula>
    </cfRule>
    <cfRule type="expression" dxfId="26" priority="6" stopIfTrue="1">
      <formula>AND(TIPOORCAMENTO="Licitado",$C18&lt;&gt;"L",$C18&lt;&gt;-1)</formula>
    </cfRule>
  </conditionalFormatting>
  <conditionalFormatting sqref="H20:H22">
    <cfRule type="expression" dxfId="25" priority="7" stopIfTrue="1">
      <formula>$C20=1</formula>
    </cfRule>
    <cfRule type="expression" dxfId="24" priority="8" stopIfTrue="1">
      <formula>OR($C20=0,$C20=2,$C20=3,$C20=4)</formula>
    </cfRule>
    <cfRule type="expression" dxfId="23" priority="9" stopIfTrue="1">
      <formula>AND(TIPOORCAMENTO="Licitado",$C20&lt;&gt;"L",$C20&lt;&gt;-1)</formula>
    </cfRule>
  </conditionalFormatting>
  <conditionalFormatting sqref="H12:I13 I14 H15:I17 I18 H19:I19 I20:I22">
    <cfRule type="expression" dxfId="22" priority="15" stopIfTrue="1">
      <formula>$B12=1</formula>
    </cfRule>
  </conditionalFormatting>
  <conditionalFormatting sqref="H12:I13 I14 H15:I17 I18">
    <cfRule type="expression" dxfId="21" priority="33" stopIfTrue="1">
      <formula>AND(TIPOORCAMENTO="Licitado",$B12&lt;&gt;"L",$B12&lt;&gt;-1)</formula>
    </cfRule>
  </conditionalFormatting>
  <conditionalFormatting sqref="H19:I19 I20:I22">
    <cfRule type="expression" dxfId="20" priority="16" stopIfTrue="1">
      <formula>OR($B19=0,$B19=2,$B19=3,$B19=4)</formula>
    </cfRule>
    <cfRule type="expression" dxfId="19" priority="17" stopIfTrue="1">
      <formula>AND(TIPOORCAMENTO="Licitado",$B19&lt;&gt;"L",$B19&lt;&gt;-1)</formula>
    </cfRule>
  </conditionalFormatting>
  <dataValidations count="5">
    <dataValidation allowBlank="1" showInputMessage="1" showErrorMessage="1" prompt="Para Orçamento Proposto, o Preço Unitário é resultado do produto do Custo Unitário pelo BDI._x000a_Para Orçamento Licitado, deve ser preenchido na Coluna AL." sqref="J12:J22" xr:uid="{2F66BD13-DB74-443D-AF9F-DCB7BC881B6C}"/>
    <dataValidation allowBlank="1" showInputMessage="1" showErrorMessage="1" prompt="A entrada de quantidades é feita na coluna AJ se acompanhamento por BM, ou na aba &quot;Memória de Cálculo/PLQ&quot; se acompanhamento por PLE." sqref="G12:G22" xr:uid="{9435D31E-8F39-46DC-8664-E6873A956EA7}"/>
    <dataValidation type="list" errorStyle="warning" allowBlank="1" showErrorMessage="1" errorTitle="Aviso BDI" error="Selecione um dos 3 BDI da lista._x000a__x000a_Caso tenha mais de 3 BDI nesta Planilha Orçamentária digite apenas valor percentual." sqref="I12:I22" xr:uid="{099E3BDB-4A28-46FB-887C-CC7758443188}">
      <mc:AlternateContent xmlns:x12ac="http://schemas.microsoft.com/office/spreadsheetml/2011/1/ac" xmlns:mc="http://schemas.openxmlformats.org/markup-compatibility/2006">
        <mc:Choice Requires="x12ac">
          <x12ac:list>BDI 1,BDI 2,BDI 3,"0,00%"</x12ac:list>
        </mc:Choice>
        <mc:Fallback>
          <formula1>"BDI 1,BDI 2,BDI 3,0,00%"</formula1>
        </mc:Fallback>
      </mc:AlternateContent>
      <formula2>0</formula2>
    </dataValidation>
    <dataValidation type="list" allowBlank="1" sqref="C12:C22" xr:uid="{6A803080-FFBE-43C8-BA75-8EE08DDFB569}">
      <formula1>"SINAPI,SINAPI-I,SICRO,Composição,Cotação"</formula1>
      <formula2>0</formula2>
    </dataValidation>
    <dataValidation type="decimal" operator="greaterThan" allowBlank="1" showErrorMessage="1" error="Apenas números decimais maiores que zero." sqref="H12:H22" xr:uid="{3BB7DEE2-B581-40FA-B66A-7BBFD56D8751}">
      <formula1>0</formula1>
      <formula2>0</formula2>
    </dataValidation>
  </dataValidations>
  <pageMargins left="0.39370078740157483" right="0.78740157480314965" top="0.39370078740157483" bottom="0.39370078740157483" header="0.39370078740157483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3F06-9290-48FA-AD6D-F64006019ED9}">
  <dimension ref="A1:L27"/>
  <sheetViews>
    <sheetView workbookViewId="0">
      <selection activeCell="B22" sqref="B22:D22"/>
    </sheetView>
  </sheetViews>
  <sheetFormatPr defaultRowHeight="15" x14ac:dyDescent="0.25"/>
  <cols>
    <col min="1" max="1" width="1.5703125" customWidth="1"/>
    <col min="3" max="3" width="47.85546875" customWidth="1"/>
    <col min="4" max="4" width="17.42578125" customWidth="1"/>
    <col min="5" max="5" width="14.5703125" customWidth="1"/>
    <col min="6" max="6" width="17.140625" customWidth="1"/>
    <col min="7" max="7" width="13.42578125" customWidth="1"/>
    <col min="8" max="8" width="12.140625" customWidth="1"/>
    <col min="9" max="9" width="12" customWidth="1"/>
    <col min="10" max="10" width="1.85546875" customWidth="1"/>
    <col min="11" max="11" width="2" customWidth="1"/>
    <col min="12" max="12" width="11.140625" bestFit="1" customWidth="1"/>
  </cols>
  <sheetData>
    <row r="1" spans="1:12" x14ac:dyDescent="0.25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2" ht="15.75" x14ac:dyDescent="0.25">
      <c r="A2" s="24"/>
      <c r="B2" s="196" t="s">
        <v>94</v>
      </c>
      <c r="C2" s="196"/>
      <c r="D2" s="196"/>
      <c r="E2" s="196"/>
      <c r="F2" s="196"/>
      <c r="G2" s="196"/>
      <c r="H2" s="196"/>
      <c r="I2" s="197"/>
      <c r="J2" s="21"/>
    </row>
    <row r="3" spans="1:12" x14ac:dyDescent="0.25">
      <c r="A3" s="24"/>
      <c r="B3" s="198"/>
      <c r="C3" s="198"/>
      <c r="D3" s="198"/>
      <c r="E3" s="198"/>
      <c r="F3" s="198"/>
      <c r="G3" s="198"/>
      <c r="H3" s="198"/>
      <c r="I3" s="199"/>
      <c r="J3" s="21"/>
    </row>
    <row r="4" spans="1:12" x14ac:dyDescent="0.25">
      <c r="A4" s="24"/>
      <c r="B4" s="218" t="s">
        <v>2</v>
      </c>
      <c r="C4" s="218"/>
      <c r="D4" s="218" t="s">
        <v>45</v>
      </c>
      <c r="E4" s="218"/>
      <c r="F4" s="218"/>
      <c r="G4" s="218"/>
      <c r="H4" s="218"/>
      <c r="I4" s="218"/>
      <c r="J4" s="21"/>
    </row>
    <row r="5" spans="1:12" ht="45.75" customHeight="1" x14ac:dyDescent="0.25">
      <c r="A5" s="24"/>
      <c r="B5" s="219" t="s">
        <v>31</v>
      </c>
      <c r="C5" s="219"/>
      <c r="D5" s="222" t="str">
        <f>ORÇAMENTO!E8</f>
        <v>Execução de Pavimentação em blocos sextavados em vias publicas do Distrito de São Roberto de Minas e na Sede, Zona Urbana do município de São João da Lagoa</v>
      </c>
      <c r="E5" s="222"/>
      <c r="F5" s="222"/>
      <c r="G5" s="222"/>
      <c r="H5" s="222"/>
      <c r="I5" s="222"/>
      <c r="J5" s="21"/>
    </row>
    <row r="6" spans="1:12" x14ac:dyDescent="0.25">
      <c r="A6" s="24"/>
      <c r="B6" s="105"/>
      <c r="C6" s="105"/>
      <c r="D6" s="105"/>
      <c r="E6" s="105"/>
      <c r="F6" s="105"/>
      <c r="G6" s="105"/>
      <c r="H6" s="105"/>
      <c r="I6" s="105"/>
      <c r="J6" s="21"/>
    </row>
    <row r="7" spans="1:12" x14ac:dyDescent="0.25">
      <c r="A7" s="24"/>
      <c r="B7" s="223" t="s">
        <v>51</v>
      </c>
      <c r="C7" s="224" t="s">
        <v>54</v>
      </c>
      <c r="D7" s="225" t="s">
        <v>87</v>
      </c>
      <c r="E7" s="226" t="s">
        <v>88</v>
      </c>
      <c r="F7" s="121">
        <v>1</v>
      </c>
      <c r="G7" s="122">
        <v>2</v>
      </c>
      <c r="H7" s="122">
        <v>3</v>
      </c>
      <c r="I7" s="122">
        <v>4</v>
      </c>
      <c r="J7" s="21"/>
    </row>
    <row r="8" spans="1:12" ht="15" customHeight="1" x14ac:dyDescent="0.25">
      <c r="A8" s="24"/>
      <c r="B8" s="223"/>
      <c r="C8" s="224"/>
      <c r="D8" s="225"/>
      <c r="E8" s="226"/>
      <c r="F8" s="123">
        <v>45901</v>
      </c>
      <c r="G8" s="124">
        <v>45931</v>
      </c>
      <c r="H8" s="124">
        <v>45962</v>
      </c>
      <c r="I8" s="124">
        <v>45992</v>
      </c>
      <c r="J8" s="21"/>
    </row>
    <row r="9" spans="1:12" ht="33.75" x14ac:dyDescent="0.25">
      <c r="A9" s="24"/>
      <c r="B9" s="125" t="s">
        <v>86</v>
      </c>
      <c r="C9" s="126" t="s">
        <v>46</v>
      </c>
      <c r="D9" s="156">
        <f>ORÇAMENTO!K12</f>
        <v>663608.76</v>
      </c>
      <c r="E9" s="128" t="s">
        <v>89</v>
      </c>
      <c r="F9" s="154">
        <v>0.32373867474610174</v>
      </c>
      <c r="G9" s="154">
        <v>0.37292936971157836</v>
      </c>
      <c r="H9" s="154">
        <v>0.13876358099826328</v>
      </c>
      <c r="I9" s="154">
        <v>0.16456837454405676</v>
      </c>
      <c r="J9" s="21"/>
    </row>
    <row r="10" spans="1:12" ht="15" customHeight="1" x14ac:dyDescent="0.25">
      <c r="A10" s="24"/>
      <c r="B10" s="125" t="s">
        <v>90</v>
      </c>
      <c r="C10" s="135" t="s">
        <v>60</v>
      </c>
      <c r="D10" s="127">
        <f>ORÇAMENTO!K13</f>
        <v>1451.72</v>
      </c>
      <c r="E10" s="128" t="s">
        <v>89</v>
      </c>
      <c r="F10" s="154">
        <v>1</v>
      </c>
      <c r="G10" s="154">
        <v>0</v>
      </c>
      <c r="H10" s="154">
        <v>0</v>
      </c>
      <c r="I10" s="154">
        <v>0</v>
      </c>
      <c r="J10" s="21"/>
    </row>
    <row r="11" spans="1:12" x14ac:dyDescent="0.25">
      <c r="A11" s="24"/>
      <c r="B11" s="125" t="s">
        <v>91</v>
      </c>
      <c r="C11" s="135" t="s">
        <v>65</v>
      </c>
      <c r="D11" s="127">
        <f>ORÇAMENTO!K17</f>
        <v>530663.80000000005</v>
      </c>
      <c r="E11" s="128" t="s">
        <v>89</v>
      </c>
      <c r="F11" s="154">
        <v>0.32286800213300709</v>
      </c>
      <c r="G11" s="154">
        <v>0.37363101953061101</v>
      </c>
      <c r="H11" s="154">
        <v>0.13952925130179289</v>
      </c>
      <c r="I11" s="154">
        <v>0.16397172703458915</v>
      </c>
      <c r="J11" s="21"/>
      <c r="L11" s="7">
        <f>SUM(F11:I11)</f>
        <v>1</v>
      </c>
    </row>
    <row r="12" spans="1:12" ht="15" customHeight="1" x14ac:dyDescent="0.25">
      <c r="A12" s="24"/>
      <c r="B12" s="125" t="s">
        <v>92</v>
      </c>
      <c r="C12" s="135" t="s">
        <v>67</v>
      </c>
      <c r="D12" s="127">
        <f>ORÇAMENTO!K19</f>
        <v>131493.24</v>
      </c>
      <c r="E12" s="128" t="s">
        <v>89</v>
      </c>
      <c r="F12" s="154">
        <v>0.31978632211050739</v>
      </c>
      <c r="G12" s="154">
        <v>0.37421497850303032</v>
      </c>
      <c r="H12" s="154">
        <v>0.13720557203132794</v>
      </c>
      <c r="I12" s="154">
        <v>0.16879312735513444</v>
      </c>
      <c r="J12" s="21"/>
      <c r="L12" s="7">
        <f>SUM(F12:I12)</f>
        <v>1</v>
      </c>
    </row>
    <row r="13" spans="1:12" ht="7.5" customHeight="1" x14ac:dyDescent="0.25">
      <c r="A13" s="24"/>
      <c r="B13" s="134"/>
      <c r="C13" s="129"/>
      <c r="D13" s="120"/>
      <c r="E13" s="120"/>
      <c r="F13" s="129"/>
      <c r="G13" s="129"/>
      <c r="H13" s="129"/>
      <c r="I13" s="129"/>
      <c r="J13" s="21"/>
    </row>
    <row r="14" spans="1:12" x14ac:dyDescent="0.25">
      <c r="A14" s="24"/>
      <c r="B14" s="221"/>
      <c r="C14" s="221"/>
      <c r="D14" s="220" t="s">
        <v>95</v>
      </c>
      <c r="E14" s="130" t="s">
        <v>93</v>
      </c>
      <c r="F14" s="131">
        <f>F15/$D$27</f>
        <v>0.32373867397410483</v>
      </c>
      <c r="G14" s="131">
        <f t="shared" ref="G14:I14" si="0">G15/$D$27</f>
        <v>0.37292937483224298</v>
      </c>
      <c r="H14" s="131">
        <f t="shared" si="0"/>
        <v>0.13876358413351866</v>
      </c>
      <c r="I14" s="131">
        <f t="shared" si="0"/>
        <v>0.16456836706013345</v>
      </c>
      <c r="J14" s="21"/>
      <c r="L14" s="7">
        <f>SUM(F14:I14)</f>
        <v>0.99999999999999989</v>
      </c>
    </row>
    <row r="15" spans="1:12" x14ac:dyDescent="0.25">
      <c r="A15" s="24"/>
      <c r="B15" s="221"/>
      <c r="C15" s="221"/>
      <c r="D15" s="220"/>
      <c r="E15" s="132" t="s">
        <v>96</v>
      </c>
      <c r="F15" s="133">
        <f>(ROUND((F10*$D$10),2))+(ROUND((F11*$D$11),2))+(ROUND((F12*$D$12),2))</f>
        <v>214835.81999999998</v>
      </c>
      <c r="G15" s="133">
        <f t="shared" ref="G15:H15" si="1">(ROUND((G10*$D$10),2))+(ROUND((G11*$D$11),2))+(ROUND((G12*$D$12),2))</f>
        <v>247479.19999999998</v>
      </c>
      <c r="H15" s="133">
        <f t="shared" si="1"/>
        <v>92084.73</v>
      </c>
      <c r="I15" s="133">
        <v>109209.01</v>
      </c>
      <c r="J15" s="21"/>
    </row>
    <row r="16" spans="1:12" x14ac:dyDescent="0.25">
      <c r="A16" s="24"/>
      <c r="B16" s="221"/>
      <c r="C16" s="221"/>
      <c r="D16" s="220" t="s">
        <v>97</v>
      </c>
      <c r="E16" s="130" t="s">
        <v>93</v>
      </c>
      <c r="F16" s="131">
        <f>F14</f>
        <v>0.32373867397410483</v>
      </c>
      <c r="G16" s="131">
        <f>F16+G14</f>
        <v>0.69666804880634781</v>
      </c>
      <c r="H16" s="131">
        <f>G16+H14</f>
        <v>0.83543163293986644</v>
      </c>
      <c r="I16" s="131">
        <f>H16+I14</f>
        <v>0.99999999999999989</v>
      </c>
      <c r="J16" s="21"/>
    </row>
    <row r="17" spans="1:11" x14ac:dyDescent="0.25">
      <c r="A17" s="24"/>
      <c r="B17" s="221"/>
      <c r="C17" s="221"/>
      <c r="D17" s="220"/>
      <c r="E17" s="132" t="s">
        <v>96</v>
      </c>
      <c r="F17" s="133">
        <f>F15</f>
        <v>214835.81999999998</v>
      </c>
      <c r="G17" s="133">
        <f>F17+G15</f>
        <v>462315.01999999996</v>
      </c>
      <c r="H17" s="133">
        <f>G17+H15</f>
        <v>554399.75</v>
      </c>
      <c r="I17" s="133">
        <f t="shared" ref="I17" si="2">H17+I15</f>
        <v>663608.76</v>
      </c>
      <c r="J17" s="21"/>
      <c r="K17" s="7"/>
    </row>
    <row r="18" spans="1:11" x14ac:dyDescent="0.25">
      <c r="A18" s="24"/>
      <c r="B18" s="17"/>
      <c r="C18" s="17"/>
      <c r="D18" s="17"/>
      <c r="E18" s="17"/>
      <c r="F18" s="17"/>
      <c r="G18" s="17"/>
      <c r="H18" s="17"/>
      <c r="I18" s="17"/>
      <c r="J18" s="21"/>
    </row>
    <row r="19" spans="1:11" ht="59.25" customHeight="1" x14ac:dyDescent="0.25">
      <c r="A19" s="24"/>
      <c r="B19" s="216" t="str">
        <f>BDI!B42</f>
        <v>São João da Lagoa  MG</v>
      </c>
      <c r="C19" s="216"/>
      <c r="D19" s="216"/>
      <c r="E19" s="17"/>
      <c r="F19" s="74"/>
      <c r="G19" s="74"/>
      <c r="H19" s="74"/>
      <c r="I19" s="74"/>
      <c r="J19" s="21"/>
    </row>
    <row r="20" spans="1:11" x14ac:dyDescent="0.25">
      <c r="A20" s="24"/>
      <c r="B20" s="75" t="s">
        <v>25</v>
      </c>
      <c r="C20" s="17"/>
      <c r="D20" s="17"/>
      <c r="E20" s="17"/>
      <c r="F20" s="76" t="s">
        <v>27</v>
      </c>
      <c r="G20" s="76"/>
      <c r="H20" s="76"/>
      <c r="I20" s="76"/>
      <c r="J20" s="21"/>
    </row>
    <row r="21" spans="1:11" x14ac:dyDescent="0.25">
      <c r="A21" s="24"/>
      <c r="B21" s="17"/>
      <c r="C21" s="17"/>
      <c r="D21" s="17"/>
      <c r="E21" s="17"/>
      <c r="F21" s="15" t="s">
        <v>28</v>
      </c>
      <c r="G21" s="212" t="s">
        <v>43</v>
      </c>
      <c r="H21" s="212"/>
      <c r="I21" s="212"/>
      <c r="J21" s="21"/>
    </row>
    <row r="22" spans="1:11" x14ac:dyDescent="0.25">
      <c r="A22" s="24"/>
      <c r="B22" s="217" t="str">
        <f>BDI!H42</f>
        <v>quinta-feira, 10 de julho de 2025</v>
      </c>
      <c r="C22" s="217"/>
      <c r="D22" s="217"/>
      <c r="E22" s="17"/>
      <c r="F22" s="15" t="s">
        <v>29</v>
      </c>
      <c r="G22" s="212" t="s">
        <v>44</v>
      </c>
      <c r="H22" s="212"/>
      <c r="I22" s="212"/>
      <c r="J22" s="21"/>
    </row>
    <row r="23" spans="1:11" x14ac:dyDescent="0.25">
      <c r="A23" s="24"/>
      <c r="B23" s="77" t="s">
        <v>26</v>
      </c>
      <c r="C23" s="78"/>
      <c r="D23" s="78"/>
      <c r="E23" s="17"/>
      <c r="F23" s="15" t="s">
        <v>30</v>
      </c>
      <c r="G23" s="212"/>
      <c r="H23" s="212"/>
      <c r="I23" s="212"/>
      <c r="J23" s="21"/>
    </row>
    <row r="24" spans="1:11" ht="4.5" customHeight="1" x14ac:dyDescent="0.25">
      <c r="A24" s="25"/>
      <c r="B24" s="22"/>
      <c r="C24" s="22"/>
      <c r="D24" s="22"/>
      <c r="E24" s="22"/>
      <c r="F24" s="22"/>
      <c r="G24" s="22"/>
      <c r="H24" s="22"/>
      <c r="I24" s="22"/>
      <c r="J24" s="23"/>
    </row>
    <row r="27" spans="1:11" x14ac:dyDescent="0.25">
      <c r="D27">
        <f>ORÇAMENTO!K11</f>
        <v>663608.76</v>
      </c>
    </row>
  </sheetData>
  <mergeCells count="18">
    <mergeCell ref="B2:I2"/>
    <mergeCell ref="B3:I3"/>
    <mergeCell ref="D4:I4"/>
    <mergeCell ref="D5:I5"/>
    <mergeCell ref="B7:B8"/>
    <mergeCell ref="C7:C8"/>
    <mergeCell ref="D7:D8"/>
    <mergeCell ref="E7:E8"/>
    <mergeCell ref="G21:I21"/>
    <mergeCell ref="G22:I22"/>
    <mergeCell ref="G23:I23"/>
    <mergeCell ref="B4:C4"/>
    <mergeCell ref="B5:C5"/>
    <mergeCell ref="B19:D19"/>
    <mergeCell ref="D14:D15"/>
    <mergeCell ref="D16:D17"/>
    <mergeCell ref="B14:C17"/>
    <mergeCell ref="B22:D22"/>
  </mergeCells>
  <conditionalFormatting sqref="B9:D10">
    <cfRule type="expression" dxfId="18" priority="20" stopIfTrue="1">
      <formula>$J6=2</formula>
    </cfRule>
    <cfRule type="expression" dxfId="17" priority="21" stopIfTrue="1">
      <formula>AND($J6=1,$P6&lt;&gt;"")</formula>
    </cfRule>
  </conditionalFormatting>
  <conditionalFormatting sqref="B11:D13 B14">
    <cfRule type="expression" dxfId="16" priority="13" stopIfTrue="1">
      <formula>$J7=2</formula>
    </cfRule>
    <cfRule type="expression" dxfId="15" priority="14" stopIfTrue="1">
      <formula>AND($J7=1,$P7&lt;&gt;"")</formula>
    </cfRule>
  </conditionalFormatting>
  <conditionalFormatting sqref="F7:F8">
    <cfRule type="expression" dxfId="14" priority="89" stopIfTrue="1">
      <formula>NOT(ISNUMBER(#REF!))</formula>
    </cfRule>
  </conditionalFormatting>
  <conditionalFormatting sqref="F9:I14">
    <cfRule type="expression" dxfId="13" priority="1" stopIfTrue="1">
      <formula>F9&lt;&gt;0</formula>
    </cfRule>
  </conditionalFormatting>
  <conditionalFormatting sqref="F16:I16">
    <cfRule type="expression" dxfId="12" priority="16" stopIfTrue="1">
      <formula>F16&lt;&gt;0</formula>
    </cfRule>
  </conditionalFormatting>
  <conditionalFormatting sqref="G17:I17">
    <cfRule type="expression" dxfId="11" priority="3" stopIfTrue="1">
      <formula>OFFSET(G$31,0,-1)&gt;=1</formula>
    </cfRule>
  </conditionalFormatting>
  <dataValidations count="3">
    <dataValidation type="date" operator="greaterThan" allowBlank="1" showInputMessage="1" showErrorMessage="1" errorTitle="Erro" error="Digite somente datas." sqref="F8" xr:uid="{A48D05DD-1223-484E-9C12-F6657675C469}">
      <formula1>36526</formula1>
    </dataValidation>
    <dataValidation type="whole" operator="greaterThan" allowBlank="1" showErrorMessage="1" sqref="F7" xr:uid="{1D3363F3-FF24-425A-95A7-3C8C8FF7A437}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F16:I16 F9:I14" xr:uid="{AC027FE9-5468-47AD-A7EB-8D4777257594}"/>
  </dataValidations>
  <pageMargins left="0.511811024" right="0.511811024" top="0.78740157499999996" bottom="0.78740157499999996" header="0.31496062000000002" footer="0.31496062000000002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49FE-9209-4521-B2A7-DDE425C25950}">
  <dimension ref="A1:AE31"/>
  <sheetViews>
    <sheetView tabSelected="1" zoomScaleNormal="100" workbookViewId="0">
      <selection activeCell="F13" sqref="F13"/>
    </sheetView>
  </sheetViews>
  <sheetFormatPr defaultRowHeight="15" x14ac:dyDescent="0.25"/>
  <cols>
    <col min="1" max="1" width="1.85546875" style="100" customWidth="1"/>
    <col min="2" max="2" width="5.42578125" style="99" customWidth="1"/>
    <col min="3" max="3" width="37.5703125" style="99" customWidth="1"/>
    <col min="4" max="4" width="6.28515625" style="99" customWidth="1"/>
    <col min="5" max="5" width="11.5703125" style="99" customWidth="1"/>
    <col min="6" max="6" width="33.7109375" style="99" customWidth="1"/>
    <col min="7" max="7" width="20" style="99" customWidth="1"/>
    <col min="8" max="8" width="11.42578125" style="99" customWidth="1"/>
    <col min="9" max="10" width="9.7109375" style="99" customWidth="1"/>
    <col min="11" max="11" width="12.5703125" style="99" customWidth="1"/>
    <col min="12" max="12" width="11.85546875" style="99" customWidth="1"/>
    <col min="13" max="14" width="11.5703125" style="99" customWidth="1"/>
    <col min="15" max="15" width="11.85546875" style="99" customWidth="1"/>
    <col min="16" max="16" width="2.140625" style="99" customWidth="1"/>
    <col min="17" max="17" width="12.42578125" style="99" customWidth="1"/>
    <col min="18" max="18" width="13.140625" style="99" customWidth="1"/>
    <col min="19" max="19" width="10.140625" style="99" bestFit="1" customWidth="1"/>
    <col min="20" max="20" width="10.140625" style="99" customWidth="1"/>
    <col min="21" max="21" width="13.85546875" style="99" customWidth="1"/>
    <col min="22" max="25" width="10.140625" style="99" bestFit="1" customWidth="1"/>
    <col min="26" max="26" width="11" style="99" customWidth="1"/>
    <col min="27" max="27" width="10.140625" style="99" bestFit="1" customWidth="1"/>
    <col min="28" max="28" width="10.5703125" style="99" bestFit="1" customWidth="1"/>
    <col min="29" max="29" width="15" style="99" customWidth="1"/>
    <col min="30" max="16384" width="9.140625" style="99"/>
  </cols>
  <sheetData>
    <row r="1" spans="1:29" ht="4.5" customHeight="1" x14ac:dyDescent="0.25">
      <c r="A1" s="113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5"/>
    </row>
    <row r="2" spans="1:29" ht="15.75" x14ac:dyDescent="0.25">
      <c r="A2" s="114"/>
      <c r="B2" s="196" t="s">
        <v>85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7"/>
      <c r="N2" s="244" t="s">
        <v>0</v>
      </c>
      <c r="O2" s="244"/>
      <c r="P2" s="116"/>
    </row>
    <row r="3" spans="1:29" ht="15.75" x14ac:dyDescent="0.25">
      <c r="A3" s="114"/>
      <c r="B3" s="196" t="s">
        <v>76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7"/>
      <c r="N3" s="245" t="s">
        <v>1</v>
      </c>
      <c r="O3" s="245"/>
      <c r="P3" s="116"/>
    </row>
    <row r="4" spans="1:29" x14ac:dyDescent="0.25">
      <c r="A4" s="114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16"/>
    </row>
    <row r="5" spans="1:29" x14ac:dyDescent="0.25">
      <c r="A5" s="114"/>
      <c r="B5" s="246" t="str">
        <f>ORÇAMENTO!B4</f>
        <v>PROPONENTE / TOMADOR</v>
      </c>
      <c r="C5" s="248"/>
      <c r="D5" s="246" t="s">
        <v>45</v>
      </c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8"/>
      <c r="P5" s="116"/>
    </row>
    <row r="6" spans="1:29" ht="26.25" customHeight="1" x14ac:dyDescent="0.25">
      <c r="A6" s="114"/>
      <c r="B6" s="231" t="str">
        <f>ORÇAMENTO!B5</f>
        <v>Prefeitura Municipal de São João da Lagoa</v>
      </c>
      <c r="C6" s="232"/>
      <c r="D6" s="241" t="str">
        <f>ORÇAMENTO!E8</f>
        <v>Execução de Pavimentação em blocos sextavados em vias publicas do Distrito de São Roberto de Minas e na Sede, Zona Urbana do município de São João da Lagoa</v>
      </c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3"/>
      <c r="P6" s="116"/>
    </row>
    <row r="7" spans="1:29" ht="9.75" customHeight="1" x14ac:dyDescent="0.25">
      <c r="A7" s="114"/>
      <c r="B7" s="100"/>
      <c r="C7" s="102"/>
      <c r="D7" s="102"/>
      <c r="E7" s="102"/>
      <c r="F7" s="102"/>
      <c r="G7" s="103"/>
      <c r="H7" s="103"/>
      <c r="I7" s="103"/>
      <c r="J7" s="104"/>
      <c r="K7" s="104"/>
      <c r="L7" s="104"/>
      <c r="M7" s="104"/>
      <c r="N7" s="104"/>
      <c r="O7" s="104"/>
      <c r="P7" s="116"/>
    </row>
    <row r="8" spans="1:29" ht="129" customHeight="1" x14ac:dyDescent="0.25">
      <c r="A8" s="114"/>
      <c r="B8" s="100"/>
      <c r="C8" s="100"/>
      <c r="D8" s="100"/>
      <c r="E8" s="100"/>
      <c r="F8" s="100"/>
      <c r="G8" s="89" t="s">
        <v>80</v>
      </c>
      <c r="H8" s="136" t="s">
        <v>121</v>
      </c>
      <c r="I8" s="136" t="s">
        <v>109</v>
      </c>
      <c r="J8" s="136" t="s">
        <v>110</v>
      </c>
      <c r="K8" s="136" t="s">
        <v>111</v>
      </c>
      <c r="L8" s="136" t="s">
        <v>112</v>
      </c>
      <c r="M8" s="142" t="s">
        <v>133</v>
      </c>
      <c r="N8" s="142" t="s">
        <v>124</v>
      </c>
      <c r="O8" s="142" t="s">
        <v>134</v>
      </c>
      <c r="P8" s="116"/>
      <c r="R8" s="143" t="s">
        <v>117</v>
      </c>
      <c r="T8" s="145" t="s">
        <v>123</v>
      </c>
      <c r="U8" s="136" t="s">
        <v>121</v>
      </c>
      <c r="V8" s="136" t="s">
        <v>109</v>
      </c>
      <c r="W8" s="136" t="s">
        <v>110</v>
      </c>
      <c r="X8" s="136" t="s">
        <v>111</v>
      </c>
      <c r="Y8" s="136" t="s">
        <v>112</v>
      </c>
      <c r="Z8" s="142" t="s">
        <v>122</v>
      </c>
      <c r="AA8" s="142" t="s">
        <v>124</v>
      </c>
      <c r="AB8" s="142" t="s">
        <v>125</v>
      </c>
      <c r="AC8" s="99" t="s">
        <v>118</v>
      </c>
    </row>
    <row r="9" spans="1:29" ht="25.5" x14ac:dyDescent="0.25">
      <c r="A9" s="114"/>
      <c r="B9" s="89" t="s">
        <v>51</v>
      </c>
      <c r="C9" s="32" t="s">
        <v>54</v>
      </c>
      <c r="D9" s="33" t="s">
        <v>143</v>
      </c>
      <c r="E9" s="32" t="s">
        <v>144</v>
      </c>
      <c r="F9" s="32" t="s">
        <v>76</v>
      </c>
      <c r="G9" s="32" t="s">
        <v>78</v>
      </c>
      <c r="H9" s="32">
        <v>1</v>
      </c>
      <c r="I9" s="32">
        <v>2</v>
      </c>
      <c r="J9" s="32">
        <f t="shared" ref="J9:L9" ca="1" si="0">OFFSET(J9,0,-1)+1</f>
        <v>3</v>
      </c>
      <c r="K9" s="32">
        <f t="shared" ca="1" si="0"/>
        <v>4</v>
      </c>
      <c r="L9" s="32">
        <f t="shared" ca="1" si="0"/>
        <v>5</v>
      </c>
      <c r="M9" s="32">
        <v>6</v>
      </c>
      <c r="N9" s="32"/>
      <c r="O9" s="32">
        <v>7</v>
      </c>
      <c r="P9" s="116"/>
      <c r="AC9" s="99" t="e">
        <f>SUM(AC13:AC21)</f>
        <v>#REF!</v>
      </c>
    </row>
    <row r="10" spans="1:29" ht="48.75" customHeight="1" x14ac:dyDescent="0.25">
      <c r="A10" s="114"/>
      <c r="B10" s="228" t="str">
        <f>ORÇAMENTO!E8</f>
        <v>Execução de Pavimentação em blocos sextavados em vias publicas do Distrito de São Roberto de Minas e na Sede, Zona Urbana do município de São João da Lagoa</v>
      </c>
      <c r="C10" s="229"/>
      <c r="D10" s="229"/>
      <c r="E10" s="229"/>
      <c r="F10" s="230"/>
      <c r="G10" s="98" t="s">
        <v>79</v>
      </c>
      <c r="H10" s="95">
        <v>106250.81</v>
      </c>
      <c r="I10" s="95">
        <v>50362.083202598289</v>
      </c>
      <c r="J10" s="95">
        <v>58222.926355352211</v>
      </c>
      <c r="K10" s="95">
        <v>76006.621842046283</v>
      </c>
      <c r="L10" s="95">
        <v>42256.30898838619</v>
      </c>
      <c r="M10" s="95">
        <v>129216.26577144962</v>
      </c>
      <c r="N10" s="95">
        <v>92084.727919417055</v>
      </c>
      <c r="O10" s="95">
        <v>109209.01496639708</v>
      </c>
      <c r="P10" s="116"/>
      <c r="Q10" s="140">
        <f>SUM(H10:O10)</f>
        <v>663608.75904564676</v>
      </c>
      <c r="R10" s="143">
        <f>SUM(R13:R21)</f>
        <v>663608.76000000013</v>
      </c>
      <c r="S10" s="140">
        <f>SUM(H10:L10)</f>
        <v>333098.75038838299</v>
      </c>
      <c r="T10" s="140"/>
      <c r="U10" s="99">
        <f>ORÇAMENTO!K11</f>
        <v>663608.76</v>
      </c>
    </row>
    <row r="11" spans="1:29" ht="34.5" customHeight="1" x14ac:dyDescent="0.25">
      <c r="A11" s="114"/>
      <c r="B11" s="96">
        <v>1</v>
      </c>
      <c r="C11" s="233" t="str">
        <f>ORÇAMENTO!E12</f>
        <v>Pavimentação das vias: Rua Norciso Cardoso dos Santos; Rua Cunegunes R. da Fonseca; Av. Adão Dias; Rua Domingos Pereira Miranda; Rua Eufrosina Alves Ferreira; Rua dos Tinguis; Rua São Pedro; Rua Jairo Romão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5"/>
      <c r="P11" s="116"/>
      <c r="R11" s="143"/>
    </row>
    <row r="12" spans="1:29" x14ac:dyDescent="0.25">
      <c r="A12" s="114"/>
      <c r="B12" s="96" t="s">
        <v>101</v>
      </c>
      <c r="C12" s="233" t="s">
        <v>60</v>
      </c>
      <c r="D12" s="234"/>
      <c r="E12" s="234"/>
      <c r="F12" s="234"/>
      <c r="G12" s="234"/>
      <c r="H12" s="234"/>
      <c r="I12" s="234"/>
      <c r="J12" s="234"/>
      <c r="K12" s="234"/>
      <c r="L12" s="235"/>
      <c r="M12" s="96"/>
      <c r="N12" s="96"/>
      <c r="O12" s="96"/>
      <c r="P12" s="116"/>
      <c r="R12" s="143"/>
    </row>
    <row r="13" spans="1:29" ht="169.5" customHeight="1" x14ac:dyDescent="0.25">
      <c r="A13" s="114"/>
      <c r="B13" s="90" t="s">
        <v>102</v>
      </c>
      <c r="C13" s="106" t="str">
        <f>ORÇAMENTO!E14</f>
        <v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v>
      </c>
      <c r="D13" s="91" t="str">
        <f ca="1">IF($D13&lt;&gt;"Serviço","",OFFSET([1]ORÇAMENTO!P$15,ROW(D13)-ROW(D$10),0))</f>
        <v>un</v>
      </c>
      <c r="E13" s="61">
        <f>SUM(H13:O13)</f>
        <v>1</v>
      </c>
      <c r="F13" s="92" t="s">
        <v>77</v>
      </c>
      <c r="G13" s="93" t="str">
        <f ca="1">IF($D13&lt;&gt;"Serviço","",IF(AUTOEVENTO="Manual",IF(#REF!=0,"&lt;-- defina o número do agrupador",OFFSET([1]EVENTOS!$D$14,#REF!,0)),OFFSET($F$10,#REF!,0)))</f>
        <v xml:space="preserve">Serviços Iniciais </v>
      </c>
      <c r="H13" s="94">
        <v>1</v>
      </c>
      <c r="I13" s="94"/>
      <c r="J13" s="94"/>
      <c r="K13" s="94"/>
      <c r="L13" s="94"/>
      <c r="M13" s="94"/>
      <c r="N13" s="94"/>
      <c r="O13" s="94"/>
      <c r="P13" s="116"/>
      <c r="R13" s="143">
        <f>ORÇAMENTO!K14</f>
        <v>1451.72</v>
      </c>
      <c r="S13" s="99">
        <f>ORÇAMENTO!J14</f>
        <v>1451.72</v>
      </c>
      <c r="T13" s="99" t="e">
        <f>ROUND(#REF!*S13,2)</f>
        <v>#REF!</v>
      </c>
      <c r="AC13" s="99" t="e">
        <f>SUM(T13:AB13)</f>
        <v>#REF!</v>
      </c>
    </row>
    <row r="14" spans="1:29" x14ac:dyDescent="0.25">
      <c r="A14" s="114"/>
      <c r="B14" s="96" t="s">
        <v>103</v>
      </c>
      <c r="C14" s="233" t="s">
        <v>63</v>
      </c>
      <c r="D14" s="234"/>
      <c r="E14" s="234"/>
      <c r="F14" s="234"/>
      <c r="G14" s="234"/>
      <c r="H14" s="234"/>
      <c r="I14" s="234"/>
      <c r="J14" s="234"/>
      <c r="K14" s="234"/>
      <c r="L14" s="235"/>
      <c r="M14" s="96"/>
      <c r="N14" s="96"/>
      <c r="O14" s="96"/>
      <c r="P14" s="116"/>
      <c r="R14" s="143"/>
      <c r="AC14" s="99">
        <f t="shared" ref="AC14:AC21" si="1">SUM(T14:AB14)</f>
        <v>0</v>
      </c>
    </row>
    <row r="15" spans="1:29" x14ac:dyDescent="0.25">
      <c r="A15" s="114"/>
      <c r="B15" s="90" t="s">
        <v>104</v>
      </c>
      <c r="C15" s="106" t="str">
        <f>ORÇAMENTO!E16</f>
        <v>A CARGO DA PREFEITURA</v>
      </c>
      <c r="D15" s="91" t="str">
        <f ca="1">IF($D15&lt;&gt;"Serviço","",OFFSET([1]ORÇAMENTO!P$15,ROW(D15)-ROW(D$10),0))</f>
        <v>-</v>
      </c>
      <c r="E15" s="61">
        <v>0</v>
      </c>
      <c r="F15" s="92"/>
      <c r="G15" s="93" t="str">
        <f ca="1">IF($D15&lt;&gt;"Serviço","",IF(AUTOEVENTO="Manual",IF(#REF!=0,"&lt;-- defina o número do agrupador",OFFSET([1]EVENTOS!$D$14,#REF!,0)),OFFSET($F$10,#REF!,0)))</f>
        <v>Subleito/base</v>
      </c>
      <c r="H15" s="94"/>
      <c r="I15" s="94"/>
      <c r="J15" s="94"/>
      <c r="K15" s="94"/>
      <c r="L15" s="94"/>
      <c r="M15" s="94"/>
      <c r="N15" s="94"/>
      <c r="O15" s="94"/>
      <c r="P15" s="116"/>
      <c r="R15" s="143"/>
      <c r="AC15" s="99">
        <f t="shared" si="1"/>
        <v>0</v>
      </c>
    </row>
    <row r="16" spans="1:29" x14ac:dyDescent="0.25">
      <c r="A16" s="114"/>
      <c r="B16" s="96" t="s">
        <v>105</v>
      </c>
      <c r="C16" s="233" t="s">
        <v>65</v>
      </c>
      <c r="D16" s="234"/>
      <c r="E16" s="234"/>
      <c r="F16" s="234"/>
      <c r="G16" s="234"/>
      <c r="H16" s="234"/>
      <c r="I16" s="234"/>
      <c r="J16" s="234"/>
      <c r="K16" s="234"/>
      <c r="L16" s="235"/>
      <c r="M16" s="96"/>
      <c r="N16" s="96"/>
      <c r="O16" s="96"/>
      <c r="P16" s="116"/>
      <c r="R16" s="143"/>
      <c r="AC16" s="99">
        <f t="shared" si="1"/>
        <v>0</v>
      </c>
    </row>
    <row r="17" spans="1:31" ht="193.5" customHeight="1" x14ac:dyDescent="0.25">
      <c r="A17" s="114"/>
      <c r="B17" s="90" t="s">
        <v>106</v>
      </c>
      <c r="C17" s="106" t="str">
        <f>ORÇAMENTO!E18</f>
        <v>EXECUÇÃO DE PAVIMENTO EM PISO INTERTRAVADO, COM BLOCO SEXTAVADO DE 25 X 25 CM, ESPESSURA 8 CM. AF_10/2022</v>
      </c>
      <c r="D17" s="91" t="str">
        <f ca="1">IF($D17&lt;&gt;"Serviço","",OFFSET([1]ORÇAMENTO!P$15,ROW(D17)-ROW(D$10),0))</f>
        <v>M2</v>
      </c>
      <c r="E17" s="61">
        <f>SUM(H17:O17)</f>
        <v>4706.9700000000012</v>
      </c>
      <c r="F17" s="92" t="s">
        <v>135</v>
      </c>
      <c r="G17" s="93" t="str">
        <f ca="1">IF($D17&lt;&gt;"Serviço","",IF(AUTOEVENTO="Manual",IF(#REF!=0,"&lt;-- defina o número do agrupador",OFFSET([1]EVENTOS!$D$14,#REF!,0)),OFFSET($F$10,#REF!,0)))</f>
        <v>Pavimentação</v>
      </c>
      <c r="H17" s="94">
        <v>754</v>
      </c>
      <c r="I17" s="94">
        <v>341.16</v>
      </c>
      <c r="J17" s="94">
        <v>424.57000000000005</v>
      </c>
      <c r="K17" s="94">
        <v>533.78</v>
      </c>
      <c r="L17" s="94">
        <v>287.75</v>
      </c>
      <c r="M17" s="94">
        <v>937.1400000000001</v>
      </c>
      <c r="N17" s="94">
        <v>656.76</v>
      </c>
      <c r="O17" s="94">
        <v>771.81</v>
      </c>
      <c r="P17" s="116"/>
      <c r="R17" s="143">
        <f>ORÇAMENTO!K18</f>
        <v>530663.80000000005</v>
      </c>
      <c r="S17" s="99">
        <f>ORÇAMENTO!J18</f>
        <v>112.74</v>
      </c>
      <c r="U17" s="147">
        <f t="shared" ref="U17:AA17" si="2">ROUND(H17*$S$17,2)</f>
        <v>85005.96</v>
      </c>
      <c r="V17" s="147">
        <f t="shared" si="2"/>
        <v>38462.379999999997</v>
      </c>
      <c r="W17" s="147">
        <f t="shared" si="2"/>
        <v>47866.02</v>
      </c>
      <c r="X17" s="147">
        <f t="shared" si="2"/>
        <v>60178.36</v>
      </c>
      <c r="Y17" s="147">
        <f t="shared" si="2"/>
        <v>32440.94</v>
      </c>
      <c r="Z17" s="147">
        <f t="shared" si="2"/>
        <v>105653.16</v>
      </c>
      <c r="AA17" s="147">
        <f t="shared" si="2"/>
        <v>74043.12</v>
      </c>
      <c r="AB17" s="147">
        <f>ROUND(S17*O17,2)</f>
        <v>87013.86</v>
      </c>
      <c r="AC17" s="147">
        <f t="shared" si="1"/>
        <v>530663.79999999993</v>
      </c>
      <c r="AD17" s="147"/>
    </row>
    <row r="18" spans="1:31" x14ac:dyDescent="0.25">
      <c r="A18" s="114"/>
      <c r="B18" s="139" t="s">
        <v>107</v>
      </c>
      <c r="C18" s="236" t="s">
        <v>67</v>
      </c>
      <c r="D18" s="237"/>
      <c r="E18" s="237"/>
      <c r="F18" s="237"/>
      <c r="G18" s="237"/>
      <c r="H18" s="237"/>
      <c r="I18" s="237"/>
      <c r="J18" s="237"/>
      <c r="K18" s="237"/>
      <c r="L18" s="238"/>
      <c r="M18" s="139"/>
      <c r="N18" s="139"/>
      <c r="O18" s="139"/>
      <c r="P18" s="116"/>
      <c r="R18" s="143"/>
      <c r="AC18" s="99">
        <f t="shared" si="1"/>
        <v>0</v>
      </c>
    </row>
    <row r="19" spans="1:31" ht="222.75" customHeight="1" x14ac:dyDescent="0.25">
      <c r="A19" s="114"/>
      <c r="B19" s="90" t="s">
        <v>108</v>
      </c>
      <c r="C19" s="106" t="str">
        <f>ORÇAMENTO!E20</f>
        <v>GUIA (MEIO-FIO) E SARJETA CONJUGADOS DE CONCRETO, MOLDADA  IN LOCO  EM TRECHO RETO COM EXTRUSORA, 45 CM BASE (15 CM BASE DA GUIA + 30 CM BASE DA SARJETA) X 22 CM ALTURA. AF_01/2024</v>
      </c>
      <c r="D19" s="91" t="str">
        <f ca="1">IF($D19&lt;&gt;"Serviço","",OFFSET([1]ORÇAMENTO!P$15,ROW(D19)-ROW(D$10),0))</f>
        <v>M</v>
      </c>
      <c r="E19" s="151">
        <f>SUM(H19:O19)</f>
        <v>1510.57</v>
      </c>
      <c r="F19" s="155" t="s">
        <v>140</v>
      </c>
      <c r="G19" s="93" t="str">
        <f ca="1">IF($D19&lt;&gt;"Serviço","",IF(AUTOEVENTO="Manual",IF(#REF!=0,"&lt;-- defina o número do agrupador",OFFSET([1]EVENTOS!$D$14,#REF!,0)),OFFSET($F$10,#REF!,0)))</f>
        <v>Meio Fio/Drenagem</v>
      </c>
      <c r="H19" s="148">
        <v>241.82999999999998</v>
      </c>
      <c r="I19" s="148">
        <v>137.30000000000001</v>
      </c>
      <c r="J19" s="148">
        <v>119.53</v>
      </c>
      <c r="K19" s="148">
        <v>178.94</v>
      </c>
      <c r="L19" s="148">
        <v>115.69999999999999</v>
      </c>
      <c r="M19" s="148">
        <v>265.85000000000002</v>
      </c>
      <c r="N19" s="148">
        <v>214.6</v>
      </c>
      <c r="O19" s="148">
        <v>236.82</v>
      </c>
      <c r="P19" s="116"/>
      <c r="R19" s="143">
        <f>ORÇAMENTO!K20</f>
        <v>117552.56</v>
      </c>
      <c r="S19" s="99">
        <f>ORÇAMENTO!J20</f>
        <v>77.819999999999993</v>
      </c>
      <c r="U19" s="99">
        <f t="shared" ref="U19:AA19" si="3">ROUND(H19*$S$19,2)</f>
        <v>18819.21</v>
      </c>
      <c r="V19" s="99">
        <f t="shared" si="3"/>
        <v>10684.69</v>
      </c>
      <c r="W19" s="99">
        <f t="shared" si="3"/>
        <v>9301.82</v>
      </c>
      <c r="X19" s="99">
        <f t="shared" si="3"/>
        <v>13925.11</v>
      </c>
      <c r="Y19" s="99">
        <f t="shared" si="3"/>
        <v>9003.77</v>
      </c>
      <c r="Z19" s="99">
        <f t="shared" si="3"/>
        <v>20688.45</v>
      </c>
      <c r="AA19" s="99">
        <f t="shared" si="3"/>
        <v>16700.169999999998</v>
      </c>
      <c r="AB19" s="99">
        <f t="shared" ref="AB19:AB21" si="4">ROUND(S19*O19,2)</f>
        <v>18429.330000000002</v>
      </c>
      <c r="AC19" s="99">
        <f t="shared" si="1"/>
        <v>117552.55</v>
      </c>
      <c r="AD19" s="249">
        <f>SUM(U19:V21)</f>
        <v>31692.84</v>
      </c>
      <c r="AE19" s="249"/>
    </row>
    <row r="20" spans="1:31" ht="107.25" customHeight="1" x14ac:dyDescent="0.25">
      <c r="A20" s="114"/>
      <c r="B20" s="90" t="s">
        <v>113</v>
      </c>
      <c r="C20" s="106" t="str">
        <f>ORÇAMENTO!E21</f>
        <v>GUIA (MEIO-FIO) E SARJETA CONJUGADOS DE CONCRETO, MOLDADA  IN LOCO  EM TRECHO CURVO COM EXTRUSORA, 45 CM BASE (15 CM BASE DA GUIA + 30 CM BASE DA SARJETA) X 22 CM ALTURA. AF_01/2024</v>
      </c>
      <c r="D20" s="91" t="str">
        <f ca="1">IF($D20&lt;&gt;"Serviço","",OFFSET([1]ORÇAMENTO!P$15,ROW(D20)-ROW(D$10),0))</f>
        <v>M</v>
      </c>
      <c r="E20" s="61">
        <f>SUM(H20:O20)</f>
        <v>31.159999999999997</v>
      </c>
      <c r="F20" s="155" t="s">
        <v>141</v>
      </c>
      <c r="G20" s="93" t="str">
        <f ca="1">IF($D20&lt;&gt;"Serviço","",IF(AUTOEVENTO="Manual",IF(#REF!=0,"&lt;-- defina o número do agrupador",OFFSET([1]EVENTOS!$D$14,#REF!,0)),OFFSET($F$10,#REF!,0)))</f>
        <v>Meio Fio/Drenagem</v>
      </c>
      <c r="H20" s="94"/>
      <c r="I20" s="94">
        <v>4.16</v>
      </c>
      <c r="J20" s="94"/>
      <c r="K20" s="94">
        <v>6.11</v>
      </c>
      <c r="L20" s="94"/>
      <c r="M20" s="94">
        <v>16.579999999999998</v>
      </c>
      <c r="N20" s="94">
        <v>4.3100000000000005</v>
      </c>
      <c r="O20" s="94"/>
      <c r="P20" s="116"/>
      <c r="R20" s="143">
        <f>ORÇAMENTO!K21</f>
        <v>2657.01</v>
      </c>
      <c r="S20" s="99">
        <f>ORÇAMENTO!J21</f>
        <v>85.27</v>
      </c>
      <c r="U20" s="99">
        <f t="shared" ref="U20:Z20" si="5">ROUND(H20*$S$20,2)</f>
        <v>0</v>
      </c>
      <c r="V20" s="99">
        <f t="shared" si="5"/>
        <v>354.72</v>
      </c>
      <c r="W20" s="99">
        <f t="shared" si="5"/>
        <v>0</v>
      </c>
      <c r="X20" s="99">
        <f t="shared" si="5"/>
        <v>521</v>
      </c>
      <c r="Y20" s="99">
        <f t="shared" si="5"/>
        <v>0</v>
      </c>
      <c r="Z20" s="99">
        <f t="shared" si="5"/>
        <v>1413.78</v>
      </c>
      <c r="AB20" s="99">
        <f t="shared" si="4"/>
        <v>0</v>
      </c>
      <c r="AC20" s="99">
        <f t="shared" si="1"/>
        <v>2289.5</v>
      </c>
      <c r="AD20" s="249"/>
      <c r="AE20" s="249"/>
    </row>
    <row r="21" spans="1:31" ht="160.5" customHeight="1" x14ac:dyDescent="0.25">
      <c r="A21" s="114"/>
      <c r="B21" s="90" t="s">
        <v>116</v>
      </c>
      <c r="C21" s="106" t="str">
        <f>ORÇAMENTO!E22</f>
        <v>ASSENTAMENTO DE GUIA (MEIO-FIO) EM TRECHO RETO, CONFECCIONADA EM CONCRETO PRÉ-FABRICADO, DIMENSÕES 100X15X13X30 CM (COMPRIMENTO X BASE INFERIOR X BASE SUPERIOR X ALTURA). AF_01/2024</v>
      </c>
      <c r="D21" s="91" t="str">
        <f ca="1">IF($D21&lt;&gt;"Serviço","",OFFSET([1]ORÇAMENTO!P$15,ROW(D21)-ROW(D$10),0))</f>
        <v>M</v>
      </c>
      <c r="E21" s="61">
        <f>SUM(H21:O21)</f>
        <v>139.03</v>
      </c>
      <c r="F21" s="155" t="s">
        <v>142</v>
      </c>
      <c r="G21" s="93" t="str">
        <f ca="1">IF($D21&lt;&gt;"Serviço","",IF(AUTOEVENTO="Manual",IF(#REF!=0,"&lt;-- defina o número do agrupador",OFFSET([1]EVENTOS!$D$14,#REF!,0)),OFFSET($F$10,#REF!,0)))</f>
        <v>Meio Fio/Drenagem</v>
      </c>
      <c r="H21" s="94">
        <v>12</v>
      </c>
      <c r="I21" s="94">
        <v>10.6</v>
      </c>
      <c r="J21" s="94">
        <v>13</v>
      </c>
      <c r="K21" s="94">
        <v>17.03</v>
      </c>
      <c r="L21" s="94">
        <v>10</v>
      </c>
      <c r="M21" s="94">
        <v>18</v>
      </c>
      <c r="N21" s="94">
        <v>12</v>
      </c>
      <c r="O21" s="94">
        <v>46.4</v>
      </c>
      <c r="P21" s="116"/>
      <c r="R21" s="143">
        <f>ORÇAMENTO!K22</f>
        <v>11283.67</v>
      </c>
      <c r="S21" s="99">
        <f>ORÇAMENTO!J22</f>
        <v>81.16</v>
      </c>
      <c r="U21" s="99">
        <f t="shared" ref="U21:AA21" si="6">ROUND(H21*$S$21,2)</f>
        <v>973.92</v>
      </c>
      <c r="V21" s="99">
        <f t="shared" si="6"/>
        <v>860.3</v>
      </c>
      <c r="W21" s="99">
        <f t="shared" si="6"/>
        <v>1055.08</v>
      </c>
      <c r="X21" s="99">
        <f t="shared" si="6"/>
        <v>1382.15</v>
      </c>
      <c r="Y21" s="99">
        <f t="shared" si="6"/>
        <v>811.6</v>
      </c>
      <c r="Z21" s="99">
        <f t="shared" si="6"/>
        <v>1460.88</v>
      </c>
      <c r="AA21" s="99">
        <f t="shared" si="6"/>
        <v>973.92</v>
      </c>
      <c r="AB21" s="99">
        <f t="shared" si="4"/>
        <v>3765.82</v>
      </c>
      <c r="AC21" s="99">
        <f t="shared" si="1"/>
        <v>11283.67</v>
      </c>
      <c r="AD21" s="249"/>
      <c r="AE21" s="249"/>
    </row>
    <row r="22" spans="1:31" x14ac:dyDescent="0.25">
      <c r="A22" s="114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40"/>
      <c r="P22" s="116"/>
      <c r="T22" s="147" t="e">
        <f t="shared" ref="T22:AB22" si="7">SUM(T13:T21)</f>
        <v>#REF!</v>
      </c>
      <c r="U22" s="147">
        <f t="shared" si="7"/>
        <v>104799.09000000001</v>
      </c>
      <c r="V22" s="147">
        <f t="shared" si="7"/>
        <v>50362.090000000004</v>
      </c>
      <c r="W22" s="147">
        <f t="shared" si="7"/>
        <v>58222.92</v>
      </c>
      <c r="X22" s="147">
        <f t="shared" si="7"/>
        <v>76006.62</v>
      </c>
      <c r="Y22" s="147">
        <f t="shared" si="7"/>
        <v>42256.31</v>
      </c>
      <c r="Z22" s="147">
        <f t="shared" si="7"/>
        <v>129216.27</v>
      </c>
      <c r="AA22" s="147">
        <f t="shared" si="7"/>
        <v>91717.209999999992</v>
      </c>
      <c r="AB22" s="147">
        <f t="shared" si="7"/>
        <v>109209.01000000001</v>
      </c>
      <c r="AC22" s="99" t="e">
        <f>SUM(T22:AB22)</f>
        <v>#REF!</v>
      </c>
    </row>
    <row r="23" spans="1:31" x14ac:dyDescent="0.25">
      <c r="A23" s="114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16"/>
      <c r="T23" s="150" t="e">
        <f>#REF!</f>
        <v>#REF!</v>
      </c>
      <c r="U23" s="150">
        <f>H10</f>
        <v>106250.81</v>
      </c>
      <c r="V23" s="150">
        <f t="shared" ref="V23:AB23" si="8">I10</f>
        <v>50362.083202598289</v>
      </c>
      <c r="W23" s="150">
        <f t="shared" si="8"/>
        <v>58222.926355352211</v>
      </c>
      <c r="X23" s="150">
        <f t="shared" si="8"/>
        <v>76006.621842046283</v>
      </c>
      <c r="Y23" s="150">
        <f t="shared" si="8"/>
        <v>42256.30898838619</v>
      </c>
      <c r="Z23" s="150">
        <f t="shared" si="8"/>
        <v>129216.26577144962</v>
      </c>
      <c r="AA23" s="150">
        <f t="shared" si="8"/>
        <v>92084.727919417055</v>
      </c>
      <c r="AB23" s="140">
        <f t="shared" si="8"/>
        <v>109209.01496639708</v>
      </c>
      <c r="AC23" s="149" t="e">
        <f>SUM(T23:AB23)</f>
        <v>#REF!</v>
      </c>
    </row>
    <row r="24" spans="1:31" ht="45" customHeight="1" x14ac:dyDescent="0.25">
      <c r="A24" s="114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16"/>
    </row>
    <row r="25" spans="1:31" x14ac:dyDescent="0.25">
      <c r="A25" s="114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16"/>
    </row>
    <row r="26" spans="1:31" x14ac:dyDescent="0.25">
      <c r="A26" s="114"/>
      <c r="B26" s="100"/>
      <c r="C26" s="107" t="str">
        <f>BDI!B42</f>
        <v>São João da Lagoa  MG</v>
      </c>
      <c r="D26" s="100"/>
      <c r="E26" s="100"/>
      <c r="F26" s="100"/>
      <c r="G26" s="100"/>
      <c r="H26" s="74"/>
      <c r="I26" s="74"/>
      <c r="J26" s="74"/>
      <c r="K26" s="74"/>
      <c r="L26" s="97"/>
      <c r="M26" s="141"/>
      <c r="N26" s="141"/>
      <c r="O26" s="141"/>
      <c r="P26" s="116"/>
      <c r="U26" s="99" t="s">
        <v>128</v>
      </c>
      <c r="W26" s="99" t="s">
        <v>132</v>
      </c>
      <c r="Y26" s="99" t="s">
        <v>131</v>
      </c>
      <c r="Z26" s="99" t="s">
        <v>129</v>
      </c>
      <c r="AB26" s="99" t="s">
        <v>130</v>
      </c>
    </row>
    <row r="27" spans="1:31" x14ac:dyDescent="0.25">
      <c r="A27" s="114"/>
      <c r="B27" s="100"/>
      <c r="C27" s="108" t="s">
        <v>25</v>
      </c>
      <c r="D27" s="100"/>
      <c r="E27" s="100"/>
      <c r="F27" s="76"/>
      <c r="G27" s="100"/>
      <c r="H27" s="178" t="s">
        <v>27</v>
      </c>
      <c r="I27" s="178"/>
      <c r="J27" s="178"/>
      <c r="K27" s="178"/>
      <c r="L27" s="178"/>
      <c r="M27" s="137"/>
      <c r="N27" s="137"/>
      <c r="O27" s="137"/>
      <c r="P27" s="116"/>
      <c r="R27" s="249" t="s">
        <v>126</v>
      </c>
      <c r="S27" s="249"/>
      <c r="T27" s="249"/>
      <c r="U27" s="147">
        <f>U17</f>
        <v>85005.96</v>
      </c>
      <c r="W27" s="147">
        <f>V17+W17</f>
        <v>86328.4</v>
      </c>
      <c r="Y27" s="147">
        <f>X17+Y17</f>
        <v>92619.3</v>
      </c>
      <c r="Z27" s="147">
        <f>Z17</f>
        <v>105653.16</v>
      </c>
      <c r="AB27" s="147">
        <f>AA17+AB17</f>
        <v>161056.97999999998</v>
      </c>
    </row>
    <row r="28" spans="1:31" x14ac:dyDescent="0.25">
      <c r="A28" s="114"/>
      <c r="B28" s="100"/>
      <c r="C28" s="100"/>
      <c r="D28" s="100"/>
      <c r="E28" s="100"/>
      <c r="F28" s="109"/>
      <c r="G28" s="100"/>
      <c r="H28" s="101" t="s">
        <v>28</v>
      </c>
      <c r="I28" s="227" t="s">
        <v>43</v>
      </c>
      <c r="J28" s="227"/>
      <c r="K28" s="227"/>
      <c r="L28" s="227"/>
      <c r="M28" s="138"/>
      <c r="N28" s="138"/>
      <c r="O28" s="138"/>
      <c r="P28" s="116"/>
      <c r="R28" s="249" t="s">
        <v>127</v>
      </c>
      <c r="S28" s="249"/>
      <c r="T28" s="249"/>
      <c r="U28" s="144">
        <f>SUM(U19:U21)</f>
        <v>19793.129999999997</v>
      </c>
      <c r="V28" s="144"/>
      <c r="W28" s="144">
        <f>SUM(V19:W21)</f>
        <v>22256.61</v>
      </c>
      <c r="X28" s="144"/>
      <c r="Y28" s="144">
        <f>SUM(X19:Y21)</f>
        <v>25643.63</v>
      </c>
      <c r="Z28" s="144">
        <f>SUM(Z19:Z21)</f>
        <v>23563.11</v>
      </c>
      <c r="AA28" s="144"/>
      <c r="AB28" s="144">
        <f>SUM(AA19:AB21)</f>
        <v>39869.24</v>
      </c>
    </row>
    <row r="29" spans="1:31" x14ac:dyDescent="0.25">
      <c r="A29" s="114"/>
      <c r="B29" s="100"/>
      <c r="C29" s="110" t="str">
        <f>BDI!H42</f>
        <v>quinta-feira, 10 de julho de 2025</v>
      </c>
      <c r="D29" s="100"/>
      <c r="E29" s="100"/>
      <c r="F29" s="109"/>
      <c r="G29" s="100"/>
      <c r="H29" s="101" t="s">
        <v>29</v>
      </c>
      <c r="I29" s="227" t="s">
        <v>44</v>
      </c>
      <c r="J29" s="227"/>
      <c r="K29" s="227"/>
      <c r="L29" s="227"/>
      <c r="M29" s="138"/>
      <c r="N29" s="138"/>
      <c r="O29" s="138"/>
      <c r="P29" s="116"/>
    </row>
    <row r="30" spans="1:31" x14ac:dyDescent="0.25">
      <c r="A30" s="114"/>
      <c r="B30" s="100"/>
      <c r="C30" s="111" t="s">
        <v>26</v>
      </c>
      <c r="D30" s="100"/>
      <c r="E30" s="100"/>
      <c r="F30" s="109"/>
      <c r="G30" s="100"/>
      <c r="H30" s="101" t="s">
        <v>30</v>
      </c>
      <c r="I30" s="227" t="s">
        <v>136</v>
      </c>
      <c r="J30" s="227"/>
      <c r="K30" s="227"/>
      <c r="L30" s="227"/>
      <c r="M30" s="138"/>
      <c r="N30" s="138"/>
      <c r="O30" s="138"/>
      <c r="P30" s="116"/>
    </row>
    <row r="31" spans="1:31" ht="5.25" customHeight="1" x14ac:dyDescent="0.25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9"/>
    </row>
  </sheetData>
  <mergeCells count="23">
    <mergeCell ref="R27:T27"/>
    <mergeCell ref="R28:T28"/>
    <mergeCell ref="AD19:AD21"/>
    <mergeCell ref="AE19:AE21"/>
    <mergeCell ref="B5:C5"/>
    <mergeCell ref="N2:O2"/>
    <mergeCell ref="N3:O3"/>
    <mergeCell ref="I28:L28"/>
    <mergeCell ref="D5:O5"/>
    <mergeCell ref="B2:M2"/>
    <mergeCell ref="B3:M3"/>
    <mergeCell ref="I29:L29"/>
    <mergeCell ref="I30:L30"/>
    <mergeCell ref="B10:F10"/>
    <mergeCell ref="B6:C6"/>
    <mergeCell ref="H27:L27"/>
    <mergeCell ref="C12:L12"/>
    <mergeCell ref="C14:L14"/>
    <mergeCell ref="C16:L16"/>
    <mergeCell ref="C18:L18"/>
    <mergeCell ref="B22:O22"/>
    <mergeCell ref="C11:O11"/>
    <mergeCell ref="D6:O6"/>
  </mergeCells>
  <phoneticPr fontId="14" type="noConversion"/>
  <conditionalFormatting sqref="B12 B14 B16 B18">
    <cfRule type="expression" dxfId="10" priority="5" stopIfTrue="1">
      <formula>$C12=1</formula>
    </cfRule>
    <cfRule type="expression" dxfId="9" priority="6" stopIfTrue="1">
      <formula>OR($C12=0,$C12=2,$C12=3,$C12=4)</formula>
    </cfRule>
  </conditionalFormatting>
  <conditionalFormatting sqref="C11:C21">
    <cfRule type="expression" dxfId="8" priority="16" stopIfTrue="1">
      <formula>#REF!=1</formula>
    </cfRule>
    <cfRule type="expression" dxfId="7" priority="17" stopIfTrue="1">
      <formula>OR(#REF!=0,#REF!=2,#REF!=3,#REF!=4)</formula>
    </cfRule>
  </conditionalFormatting>
  <conditionalFormatting sqref="E13:G13 E15:G15 E17:G17 E19:G21">
    <cfRule type="expression" dxfId="6" priority="14" stopIfTrue="1">
      <formula>#REF!=1</formula>
    </cfRule>
    <cfRule type="expression" dxfId="5" priority="15" stopIfTrue="1">
      <formula>OR(#REF!=0,#REF!=2,#REF!=3,#REF!=4)</formula>
    </cfRule>
  </conditionalFormatting>
  <conditionalFormatting sqref="H9:H10 H13 H15 H17 H19:H21">
    <cfRule type="expression" dxfId="4" priority="37" stopIfTrue="1">
      <formula>OR(#REF!=0,#REF!=2,#REF!=3,#REF!=4)</formula>
    </cfRule>
    <cfRule type="expression" dxfId="3" priority="38" stopIfTrue="1">
      <formula>#REF!=1</formula>
    </cfRule>
  </conditionalFormatting>
  <conditionalFormatting sqref="H9:P10 H13:P13 H15:P15 H17:P17 H19:P21">
    <cfRule type="expression" dxfId="2" priority="36" stopIfTrue="1">
      <formula>ACOMPANHAMENTO="BM"</formula>
    </cfRule>
  </conditionalFormatting>
  <conditionalFormatting sqref="I9:P10 I13:P13 I15:P15 I17:P17 I19:P21">
    <cfRule type="expression" dxfId="1" priority="57" stopIfTrue="1">
      <formula>AND(#REF!&lt;&gt;".",OR(#REF!=0,#REF!=2,#REF!=3,#REF!=4,AND(#REF!="",#REF!&lt;&gt;"Empty"),OFFSET(#REF!,0,-1)=""))</formula>
    </cfRule>
    <cfRule type="expression" dxfId="0" priority="58" stopIfTrue="1">
      <formula>AND(#REF!=1,#REF!&lt;&gt;".")</formula>
    </cfRule>
  </conditionalFormatting>
  <dataValidations xWindow="542" yWindow="674" count="2">
    <dataValidation allowBlank="1" showInputMessage="1" showErrorMessage="1" prompt="A quantidade é digitada nas colunas Q em diante, após preencher o nome das frentes de obra na célula Q12 em diante" sqref="F17 F15 F13 F19:F21" xr:uid="{4B8BADBF-1D78-4CCB-B7D4-4F6F0027C514}"/>
    <dataValidation type="decimal" operator="greaterThan" allowBlank="1" showErrorMessage="1" error="Apenas números decimais maiores que zero." sqref="I17:P17 I19:P21 I13:P13 I15:P15" xr:uid="{E9188EB6-2007-4427-9BBE-81B451B70A7E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BDI</vt:lpstr>
      <vt:lpstr>ORÇAMENTO</vt:lpstr>
      <vt:lpstr>CRONOGRAMA</vt:lpstr>
      <vt:lpstr>MEMÓRIA DE CÁLCULO</vt:lpstr>
      <vt:lpstr>BDI!Area_de_impressao</vt:lpstr>
      <vt:lpstr>CRONOGRAMA!Area_de_impressao</vt:lpstr>
      <vt:lpstr>'MEMÓRIA DE CÁLCULO'!Area_de_impressao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Peterson Amaral Lima</dc:creator>
  <cp:lastModifiedBy>Leonardo Peterson Amaral Lima</cp:lastModifiedBy>
  <cp:lastPrinted>2025-11-05T15:53:41Z</cp:lastPrinted>
  <dcterms:created xsi:type="dcterms:W3CDTF">2025-04-02T15:14:09Z</dcterms:created>
  <dcterms:modified xsi:type="dcterms:W3CDTF">2025-11-05T15:57:00Z</dcterms:modified>
</cp:coreProperties>
</file>