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EFEITURA\orçamento\PISTA DE VAQUEJADA\LICITAÇÃO\"/>
    </mc:Choice>
  </mc:AlternateContent>
  <xr:revisionPtr revIDLastSave="0" documentId="13_ncr:1_{C650D752-9D8E-463B-98B0-6F52489E5603}" xr6:coauthVersionLast="47" xr6:coauthVersionMax="47" xr10:uidLastSave="{00000000-0000-0000-0000-000000000000}"/>
  <bookViews>
    <workbookView xWindow="-120" yWindow="-120" windowWidth="29040" windowHeight="15720" activeTab="1" xr2:uid="{BC7E82ED-24DA-47D3-A3DE-70EA21059675}"/>
  </bookViews>
  <sheets>
    <sheet name="BDI" sheetId="1" r:id="rId1"/>
    <sheet name="ORÇAMENTO" sheetId="2" r:id="rId2"/>
    <sheet name="CRONOGRAMA" sheetId="3" r:id="rId3"/>
    <sheet name="MEMÓRIA DE CÁLCULO" sheetId="5" r:id="rId4"/>
    <sheet name="REFERÊNCIA" sheetId="7" r:id="rId5"/>
  </sheets>
  <externalReferences>
    <externalReference r:id="rId6"/>
  </externalReferences>
  <definedNames>
    <definedName name="ACOMPANHAMENTO" hidden="1">IF(VALUE([1]MENU!$O$4)=2,"BM","PLE")</definedName>
    <definedName name="_xlnm.Print_Area" localSheetId="0">BDI!$A$1:$L$51</definedName>
    <definedName name="_xlnm.Print_Area" localSheetId="2">CRONOGRAMA!$A$1:$K$26</definedName>
    <definedName name="_xlnm.Print_Area" localSheetId="3">'MEMÓRIA DE CÁLCULO'!$A$1:$L$37</definedName>
    <definedName name="_xlnm.Print_Area" localSheetId="1">ORÇAMENTO!$A$1:$K$43</definedName>
    <definedName name="_xlnm.Print_Area" localSheetId="4">REFERÊNCIA!$A$1:$G$47</definedName>
    <definedName name="AUTOEVENTO" hidden="1">#REF!</definedName>
    <definedName name="BDI.Opcao" hidden="1">[1]DADOS!$F$18</definedName>
    <definedName name="BDI.TipoObra" hidden="1">[1]BDI!$A$138:$A$146</definedName>
    <definedName name="CÁLCULO.NúmeroDeFrentes" hidden="1">COLUMN([1]CÁLCULO!$AA$15)-COLUMN([1]CÁLCULO!$Q$15)</definedName>
    <definedName name="CRONO.MaxParc" hidden="1">[1]CRONO!$G65536+[1]CRONO!A1</definedName>
    <definedName name="CRONOPLE.ValorDoEvento" hidden="1">SUMIF([1]CÁLCULO!$M$15:$M$27,[1]CRONOPLE!$B1,OFFSET([1]CÁLCULO!$AA$15:$AA$27,0,[1]CRONOPLE!A$12))</definedName>
    <definedName name="DESONERACAO" hidden="1">IF(OR(Import.Desoneracao="DESONERADO",Import.Desoneracao="SIM"),"SIM","NÃO")</definedName>
    <definedName name="EVENTOS.ListaValidacao" hidden="1">[1]EVENTOS!$B$15:OFFSET([1]EVENTOS!$B$62,-1,0)</definedName>
    <definedName name="Excel_BuiltIn_Database" hidden="1">TEXT(Import.DataBase,"mm-aaaa")</definedName>
    <definedName name="Import.Apelido" hidden="1">[1]DADOS!$F$16</definedName>
    <definedName name="Import.CR" hidden="1">[1]DADOS!$F$7</definedName>
    <definedName name="Import.CTEF" hidden="1">[1]DADOS!$F$36</definedName>
    <definedName name="Import.DataBase" hidden="1">OFFSET([1]DADOS!$G$19,0,-1)</definedName>
    <definedName name="Import.DescLote" hidden="1">[1]DADOS!$F$17</definedName>
    <definedName name="Import.Desoneracao" hidden="1">OFFSET([1]DADOS!$G$18,0,-1)</definedName>
    <definedName name="Import.empresa" hidden="1">[1]DADOS!$F$37</definedName>
    <definedName name="Import.Município" hidden="1">[1]DADOS!$F$6</definedName>
    <definedName name="Import.Proponente" hidden="1">[1]DADOS!$F$5</definedName>
    <definedName name="import.recurso" hidden="1">[1]DADOS!$F$4</definedName>
    <definedName name="Import.RegimeExecução" hidden="1">OFFSET([1]DADOS!$G$39,0,-1)</definedName>
    <definedName name="Import.RespOrçamento" hidden="1">[1]DADOS!$F$22:$F$24</definedName>
    <definedName name="Import.SICONV" hidden="1">[1]DADOS!$F$8</definedName>
    <definedName name="ORÇAMENTO.BancoRef" hidden="1">CRONOGRAMA!#REF!</definedName>
    <definedName name="ORÇAMENTO.CustoUnitario" hidden="1">ROUND(CRONOGRAMA!$T1,15-13*CRONOGRAMA!#REF!)</definedName>
    <definedName name="ORÇAMENTO.PrecoUnitarioLicitado" hidden="1">CRONOGRAMA!$AK1</definedName>
    <definedName name="REFERENCIA.Descricao" hidden="1">IF(ISNUMBER(CRONOGRAMA!$AE1),OFFSET(INDIRECT(ORÇAMENTO.BancoRef),CRONOGRAMA!$AE1-1,3,1),CRONOGRAMA!$AE1)</definedName>
    <definedName name="REFERENCIA.Unidade" hidden="1">IF(ISNUMBER(CRONOGRAMA!$AE1),OFFSET(INDIRECT(ORÇAMENTO.BancoRef),CRONOGRAMA!$AE1-1,4,1),"-")</definedName>
    <definedName name="SomaAgrup" hidden="1">SUMIF(OFFSET(CRONOGRAMA!#REF!,1,0,CRONOGRAMA!#REF!),"S",OFFSET(CRONOGRAMA!A1,1,0,CRONOGRAMA!#REF!))</definedName>
    <definedName name="TIPOORCAMENTO" hidden="1">IF(VALUE([1]MENU!$O$3)=2,"Licitado","Proposto")</definedName>
    <definedName name="VTOTAL1" hidden="1">ROUND(CRONOGRAMA!$S1*CRONOGRAMA!$V1,15-13*CRONOGRAMA!$AE$9)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5" l="1"/>
  <c r="J24" i="5"/>
  <c r="K23" i="5"/>
  <c r="J23" i="5"/>
  <c r="K21" i="5"/>
  <c r="J21" i="5"/>
  <c r="K19" i="5"/>
  <c r="J19" i="5"/>
  <c r="B9" i="1"/>
  <c r="M27" i="2"/>
  <c r="V25" i="5"/>
  <c r="U25" i="5"/>
  <c r="R12" i="5"/>
  <c r="R14" i="5"/>
  <c r="R25" i="5"/>
  <c r="I25" i="5"/>
  <c r="K25" i="5"/>
  <c r="J25" i="5"/>
  <c r="J12" i="5"/>
  <c r="K12" i="5"/>
  <c r="I12" i="5"/>
  <c r="I14" i="5"/>
  <c r="K14" i="5"/>
  <c r="J14" i="5"/>
  <c r="R26" i="5"/>
  <c r="R27" i="5"/>
  <c r="P16" i="5"/>
  <c r="P17" i="5"/>
  <c r="P18" i="5"/>
  <c r="P19" i="5"/>
  <c r="P21" i="5"/>
  <c r="P22" i="5"/>
  <c r="P24" i="5"/>
  <c r="P25" i="5"/>
  <c r="P26" i="5"/>
  <c r="P27" i="5"/>
  <c r="M10" i="3"/>
  <c r="M11" i="3"/>
  <c r="M12" i="3"/>
  <c r="M13" i="3"/>
  <c r="M14" i="3"/>
  <c r="G15" i="2"/>
  <c r="G16" i="2"/>
  <c r="G17" i="2"/>
  <c r="G18" i="2"/>
  <c r="G19" i="2"/>
  <c r="G21" i="2"/>
  <c r="G27" i="2"/>
  <c r="G28" i="2"/>
  <c r="G14" i="2"/>
  <c r="J14" i="2" s="1"/>
  <c r="E24" i="5"/>
  <c r="H27" i="5"/>
  <c r="H26" i="5"/>
  <c r="H20" i="5"/>
  <c r="H21" i="5"/>
  <c r="H16" i="5"/>
  <c r="K20" i="5"/>
  <c r="F20" i="5" s="1"/>
  <c r="J20" i="5"/>
  <c r="F16" i="5"/>
  <c r="D16" i="5"/>
  <c r="E16" i="5"/>
  <c r="C14" i="3"/>
  <c r="C13" i="3"/>
  <c r="C12" i="3"/>
  <c r="C25" i="5"/>
  <c r="D25" i="5"/>
  <c r="F25" i="5"/>
  <c r="C26" i="5"/>
  <c r="D26" i="5"/>
  <c r="E26" i="5"/>
  <c r="F26" i="5"/>
  <c r="C22" i="5"/>
  <c r="D22" i="5"/>
  <c r="C20" i="5"/>
  <c r="D20" i="5"/>
  <c r="E20" i="5"/>
  <c r="C21" i="5"/>
  <c r="D21" i="5"/>
  <c r="E21" i="5"/>
  <c r="H13" i="5"/>
  <c r="H24" i="5" l="1"/>
  <c r="H23" i="5"/>
  <c r="G26" i="2"/>
  <c r="F21" i="5"/>
  <c r="R21" i="5" l="1"/>
  <c r="G22" i="2"/>
  <c r="D11" i="5"/>
  <c r="J8" i="2"/>
  <c r="I17" i="2" l="1"/>
  <c r="J17" i="2" s="1"/>
  <c r="I22" i="2"/>
  <c r="J22" i="2" s="1"/>
  <c r="I27" i="2"/>
  <c r="J27" i="2" s="1"/>
  <c r="I21" i="2"/>
  <c r="I20" i="2"/>
  <c r="I14" i="2"/>
  <c r="I16" i="2"/>
  <c r="I28" i="2"/>
  <c r="I25" i="2"/>
  <c r="I24" i="2"/>
  <c r="P23" i="5" s="1"/>
  <c r="F13" i="5"/>
  <c r="E19" i="5"/>
  <c r="E23" i="5"/>
  <c r="E27" i="5"/>
  <c r="E18" i="5"/>
  <c r="C19" i="5"/>
  <c r="C23" i="5"/>
  <c r="C24" i="5"/>
  <c r="C27" i="5"/>
  <c r="C17" i="5"/>
  <c r="C18" i="5"/>
  <c r="D27" i="5"/>
  <c r="D24" i="5"/>
  <c r="D23" i="5"/>
  <c r="D19" i="5"/>
  <c r="D18" i="5"/>
  <c r="D17" i="5"/>
  <c r="C11" i="3"/>
  <c r="K22" i="5" l="1"/>
  <c r="J22" i="5"/>
  <c r="I22" i="5"/>
  <c r="J21" i="2"/>
  <c r="P20" i="5"/>
  <c r="H18" i="5"/>
  <c r="H19" i="5"/>
  <c r="I19" i="2"/>
  <c r="F23" i="5"/>
  <c r="F18" i="5"/>
  <c r="F19" i="5"/>
  <c r="G20" i="2" s="1"/>
  <c r="F15" i="5"/>
  <c r="F27" i="5"/>
  <c r="G24" i="2" l="1"/>
  <c r="R23" i="5"/>
  <c r="R22" i="5"/>
  <c r="F22" i="5"/>
  <c r="G23" i="2" s="1"/>
  <c r="R20" i="5"/>
  <c r="J17" i="5"/>
  <c r="K17" i="5"/>
  <c r="I17" i="5"/>
  <c r="R19" i="5"/>
  <c r="R18" i="5"/>
  <c r="J28" i="2"/>
  <c r="J26" i="2" s="1"/>
  <c r="D14" i="3" s="1"/>
  <c r="F24" i="5"/>
  <c r="G25" i="2" l="1"/>
  <c r="R24" i="5"/>
  <c r="U22" i="5"/>
  <c r="V22" i="5"/>
  <c r="J10" i="5"/>
  <c r="K10" i="5"/>
  <c r="R17" i="5"/>
  <c r="I10" i="5"/>
  <c r="N17" i="5"/>
  <c r="B41" i="2"/>
  <c r="B24" i="3" s="1"/>
  <c r="B35" i="5" s="1"/>
  <c r="G41" i="2"/>
  <c r="G24" i="3" s="1"/>
  <c r="I35" i="5" s="1"/>
  <c r="G42" i="2"/>
  <c r="G25" i="3" s="1"/>
  <c r="I36" i="5" s="1"/>
  <c r="G40" i="2"/>
  <c r="G23" i="3" s="1"/>
  <c r="I34" i="5" s="1"/>
  <c r="P13" i="5"/>
  <c r="E15" i="5"/>
  <c r="D15" i="5"/>
  <c r="D14" i="5"/>
  <c r="H15" i="5" s="1"/>
  <c r="C9" i="3"/>
  <c r="C10" i="3"/>
  <c r="B38" i="2"/>
  <c r="B21" i="3" s="1"/>
  <c r="B32" i="5" s="1"/>
  <c r="B5" i="2"/>
  <c r="D5" i="3"/>
  <c r="B10" i="5"/>
  <c r="H10" i="2"/>
  <c r="G2" i="1"/>
  <c r="N10" i="5" l="1"/>
  <c r="R10" i="5"/>
  <c r="U17" i="5"/>
  <c r="V17" i="5"/>
  <c r="B6" i="5"/>
  <c r="N12" i="5"/>
  <c r="R13" i="5"/>
  <c r="J13" i="2"/>
  <c r="J19" i="2"/>
  <c r="J20" i="2"/>
  <c r="J25" i="2"/>
  <c r="J24" i="2"/>
  <c r="C10" i="5"/>
  <c r="E6" i="5"/>
  <c r="E8" i="2"/>
  <c r="B11" i="2"/>
  <c r="B5" i="3"/>
  <c r="J23" i="2" l="1"/>
  <c r="J18" i="2"/>
  <c r="D12" i="3" s="1"/>
  <c r="D10" i="3"/>
  <c r="J16" i="2"/>
  <c r="J15" i="2" s="1"/>
  <c r="P15" i="5"/>
  <c r="J12" i="2" l="1"/>
  <c r="J11" i="2" s="1"/>
  <c r="D13" i="3"/>
  <c r="N22" i="2"/>
  <c r="O22" i="2" s="1"/>
  <c r="D11" i="3"/>
  <c r="R15" i="5"/>
  <c r="N14" i="5" l="1"/>
  <c r="D9" i="3"/>
  <c r="G9" i="3" l="1"/>
  <c r="G16" i="3" s="1"/>
  <c r="G17" i="3" s="1"/>
  <c r="H9" i="3"/>
  <c r="H16" i="3" s="1"/>
  <c r="H17" i="3" s="1"/>
  <c r="F9" i="3"/>
  <c r="P10" i="5"/>
  <c r="F16" i="3" l="1"/>
  <c r="M9" i="3"/>
  <c r="F18" i="3" l="1"/>
  <c r="G18" i="3" s="1"/>
  <c r="H18" i="3" s="1"/>
  <c r="F17" i="3"/>
  <c r="F19" i="3" s="1"/>
  <c r="G19" i="3" s="1"/>
  <c r="H19" i="3" s="1"/>
  <c r="E17" i="5" l="1"/>
  <c r="B13" i="2"/>
  <c r="E14" i="5"/>
  <c r="H14" i="5"/>
  <c r="E12" i="5"/>
  <c r="B14" i="2"/>
  <c r="H17" i="5"/>
  <c r="B12" i="2"/>
  <c r="E13" i="5"/>
  <c r="E11" i="5"/>
  <c r="I12" i="2"/>
  <c r="H12" i="5"/>
  <c r="H11" i="5"/>
  <c r="F12" i="5"/>
  <c r="F11" i="5"/>
</calcChain>
</file>

<file path=xl/sharedStrings.xml><?xml version="1.0" encoding="utf-8"?>
<sst xmlns="http://schemas.openxmlformats.org/spreadsheetml/2006/main" count="311" uniqueCount="180">
  <si>
    <t>Grau de Sigilo</t>
  </si>
  <si>
    <t>#PUBLICO</t>
  </si>
  <si>
    <t>PROPONENTE / TOMADOR</t>
  </si>
  <si>
    <t>Conforme legislação tributária municipal, definir estimativa de percentual da base de cálculo para o ISS:</t>
  </si>
  <si>
    <t>Sobre a base de cálculo, definir a respectiva alíquota do ISS (entre 2% e 5%):</t>
  </si>
  <si>
    <t>BDI 1</t>
  </si>
  <si>
    <t>TIPO DE OBRA</t>
  </si>
  <si>
    <t>Itens</t>
  </si>
  <si>
    <t>Siglas</t>
  </si>
  <si>
    <t>% Adotado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</si>
  <si>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</si>
  <si>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</si>
  <si>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</si>
  <si>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</si>
  <si>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</si>
  <si>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</si>
  <si>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 (Fórmula Acórdão TCU)</t>
  </si>
  <si>
    <t>BDI PAD</t>
  </si>
  <si>
    <t>BDI COM desoneração</t>
  </si>
  <si>
    <t>BDI DES</t>
  </si>
  <si>
    <t>Os valores de BDI foram calculados com o emprego da fórmula:</t>
  </si>
  <si>
    <t>BDI =</t>
  </si>
  <si>
    <t xml:space="preserve"> - 1</t>
  </si>
  <si>
    <t>(1-CP-ISS-CRPB)</t>
  </si>
  <si>
    <t>Observações:</t>
  </si>
  <si>
    <t>Local</t>
  </si>
  <si>
    <t>Data</t>
  </si>
  <si>
    <t>Responsável Técnico</t>
  </si>
  <si>
    <t>Nome:</t>
  </si>
  <si>
    <t>CREA/CAU:</t>
  </si>
  <si>
    <t>ART/RRT: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</si>
  <si>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</si>
  <si>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</si>
  <si>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</si>
  <si>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</si>
  <si>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</si>
  <si>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</si>
  <si>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</si>
  <si>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</si>
  <si>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</si>
  <si>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</si>
  <si>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(1+AC + S + R + G)*(1 + DF)*(1+L)</t>
  </si>
  <si>
    <t>OBJETO</t>
  </si>
  <si>
    <t>Declaro para os devidos fins que, conforme legislação tributária municipal, a base de cálculo deste tipo de obra corresponde à 100%, com a respectiva alíquota de 5%</t>
  </si>
  <si>
    <t>PO - PLANILHA ORÇAMENTÁRIA</t>
  </si>
  <si>
    <t>DATA BASE</t>
  </si>
  <si>
    <t>Nível</t>
  </si>
  <si>
    <t>Item</t>
  </si>
  <si>
    <t>Fonte</t>
  </si>
  <si>
    <t>Código</t>
  </si>
  <si>
    <t>Descrição</t>
  </si>
  <si>
    <t>Unidade</t>
  </si>
  <si>
    <t>Quantidade</t>
  </si>
  <si>
    <t>Preço Unitário (com BDI) (R$)</t>
  </si>
  <si>
    <t>Preço Total
(R$)</t>
  </si>
  <si>
    <t>Serviço</t>
  </si>
  <si>
    <t>Nível 2</t>
  </si>
  <si>
    <t xml:space="preserve">Serviços Iniciais </t>
  </si>
  <si>
    <t>ED-28427</t>
  </si>
  <si>
    <t>SÃO JOÃO DA LAGOA</t>
  </si>
  <si>
    <t>MUNICÍPIO / UF</t>
  </si>
  <si>
    <t>Memória de Cálculo</t>
  </si>
  <si>
    <t>Agrupador de Eventos</t>
  </si>
  <si>
    <t>TOTAL FINANC. POR FRENTE (R$):</t>
  </si>
  <si>
    <t>FRENTE DE OBRA</t>
  </si>
  <si>
    <t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t>
  </si>
  <si>
    <t>PLANILHA DE LEVANTAMENTO DE QUANTIDADES</t>
  </si>
  <si>
    <t>1.</t>
  </si>
  <si>
    <t>Valor (R$)</t>
  </si>
  <si>
    <t>Parcelas:</t>
  </si>
  <si>
    <t>% Período:</t>
  </si>
  <si>
    <t>1.1.</t>
  </si>
  <si>
    <t>%:</t>
  </si>
  <si>
    <t>CFF - CRONOGRAMA FÍSICO-FINANCEIRO</t>
  </si>
  <si>
    <t>Período</t>
  </si>
  <si>
    <t>Financeiro</t>
  </si>
  <si>
    <t>Acumulado</t>
  </si>
  <si>
    <t>UNI</t>
  </si>
  <si>
    <t>M</t>
  </si>
  <si>
    <t>Declaro para os devidos fins que o regime de Contribuição Previdenciária sobre a Receita Bruta adotado para elaboração do orçamento foi COM Desoneração, e que esta é a alternativa mais adequada para a Administração Pública.</t>
  </si>
  <si>
    <t>1.1</t>
  </si>
  <si>
    <t>1.1.1</t>
  </si>
  <si>
    <t>1.2</t>
  </si>
  <si>
    <t>PREFEITURA MUNICIPAL DE SÃO JOÃO DA LAGOA</t>
  </si>
  <si>
    <t>1.2.3</t>
  </si>
  <si>
    <t>REFERÊNCIA</t>
  </si>
  <si>
    <t>BDI</t>
  </si>
  <si>
    <t>SERVIÇOS INICIAIS</t>
  </si>
  <si>
    <t>SINAPI</t>
  </si>
  <si>
    <t>M²</t>
  </si>
  <si>
    <t>TxKM</t>
  </si>
  <si>
    <t>ED-7623</t>
  </si>
  <si>
    <t>EXECUÇÃO E APLICAÇÃO DE CONCRETO BETUMINOSO USINADO A QUENTE (CBUQ), MASSA COMERCIAL, INCLUINDO FORNECIMENTO E TRANSPORTE DOS AGREGADOS E MATERIAL BETUMINOSO, EXCLUSIVE TRANSPORTE DA MASSA ASFÁLTICA ATÉ A PISTA</t>
  </si>
  <si>
    <t>M³</t>
  </si>
  <si>
    <t>M³xKM</t>
  </si>
  <si>
    <t>102331</t>
  </si>
  <si>
    <t>93590</t>
  </si>
  <si>
    <t>1.3</t>
  </si>
  <si>
    <t>1.3.1</t>
  </si>
  <si>
    <t>1.3.2</t>
  </si>
  <si>
    <t>1.3.3</t>
  </si>
  <si>
    <t>1.3.4</t>
  </si>
  <si>
    <t>RUA LEPOLDINO</t>
  </si>
  <si>
    <t>MEMÓRIA DE CÁLCULO</t>
  </si>
  <si>
    <t>LEONARDO PETERSON AMARAL LIMA</t>
  </si>
  <si>
    <t>331.073/D</t>
  </si>
  <si>
    <t>Construção de Praças Urbanas, Rodovias, Ferrovias e recapeamento e pavimentação de vias urbanas</t>
  </si>
  <si>
    <t>ESPARGIDOR DE ASFALTO PRESSURIZADO, TANQUE 6 M3 COM ISOLAÇÃO TÉRMICA, AQUECIDO COM 2 MAÇARICOS, COM BARRA ESPARGIDORA 3,60 M, MONTADO SOBRE CAMINHÃO TOCO, PBT 14.300 KG, POTÊNCIA 185 CV - CHI DIURNO. AF_05/2023</t>
  </si>
  <si>
    <t>CHI</t>
  </si>
  <si>
    <t>ESPARGIDOR DE ASFALTO PRESSURIZADO, TANQUE 6 M3 COM ISOLAÇÃO TÉRMICA, AQUECIDO COM 2 MAÇARICOS, COM BARRA ESPARGIDORA 3,60 M, MONTADO SOBRE CAMINHÃO TOCO, PBT 14.300 KG, POTÊNCIA 185 CV - CHP DIURNO. AF_05/2023</t>
  </si>
  <si>
    <t>CHP</t>
  </si>
  <si>
    <t>TRATOR DE PNEUS, POTÊNCIA 85 CV, TRAÇÃO 4X4, PESO COM LASTRO DE 4.675 KG - CHI DIURNO. AF_06/2014</t>
  </si>
  <si>
    <t>TRATOR DE PNEUS, POTÊNCIA 85 CV, TRAÇÃO 4X4, PESO COM LASTRO DE 4.675 KG - CHP DIURNO. AF_06/2014</t>
  </si>
  <si>
    <t>VASSOURA MECÂNICA REBOCÁVEL COM ESCOVA CILÍNDRICA, LARGURA ÚTIL DE VARRIMENTO DE 2,44 M - CHI DIURNO. AF_06/2014</t>
  </si>
  <si>
    <t>VASSOURA MECÂNICA REBOCÁVEL COM ESCOVA CILÍNDRICA, LARGURA ÚTIL DE VARRIMENTO DE 2,44 M - CHP DIURNO. AF_06/2014</t>
  </si>
  <si>
    <t>SERVENTE COM ENCARGOS COMPLEMENTARES</t>
  </si>
  <si>
    <t>H</t>
  </si>
  <si>
    <t>Composição</t>
  </si>
  <si>
    <t>001</t>
  </si>
  <si>
    <t>SINAPI -MG / SETOP / ANP</t>
  </si>
  <si>
    <t>01 - 26 (DES) / OUT-25 (DES) / FEV (26)</t>
  </si>
  <si>
    <t>COMPOSIÇÃO</t>
  </si>
  <si>
    <t>VALOR UNITÁRIO (COM DESONERAÇÃO)</t>
  </si>
  <si>
    <r>
      <t xml:space="preserve">TRANSPORTE COM CAMINHÃO BASCULANTE DE 10 M³, EM VIA URBANA PAVIMENTADA, ADICIONAL PARA DMT EXCEDENTE A 30 KM (UNIDADE: M3XKM). AF_07/2020 </t>
    </r>
    <r>
      <rPr>
        <sz val="11"/>
        <color rgb="FFFF0000"/>
        <rFont val="Aptos Narrow"/>
        <family val="2"/>
        <scheme val="minor"/>
      </rPr>
      <t>(MASSA CBUQ - USINA&gt;OBRA - DMT EXCEDENTE 72,00KM)</t>
    </r>
  </si>
  <si>
    <t>1.2.4</t>
  </si>
  <si>
    <t>1.4</t>
  </si>
  <si>
    <t>BASE</t>
  </si>
  <si>
    <t>ED-50275</t>
  </si>
  <si>
    <t>100576</t>
  </si>
  <si>
    <t>002</t>
  </si>
  <si>
    <t>94265</t>
  </si>
  <si>
    <t>94267</t>
  </si>
  <si>
    <t>SETOP</t>
  </si>
  <si>
    <t>PINTURA DE LIGAÇÃO E IMPRIMAÇÃO</t>
  </si>
  <si>
    <t>MEIO-FIO/DRENAGEM</t>
  </si>
  <si>
    <t>1.5</t>
  </si>
  <si>
    <t>1.5.1</t>
  </si>
  <si>
    <t>1.5.2</t>
  </si>
  <si>
    <t>1.4.1</t>
  </si>
  <si>
    <t>1.4.2</t>
  </si>
  <si>
    <t>1.2.1</t>
  </si>
  <si>
    <t>1.2.2</t>
  </si>
  <si>
    <t>G</t>
  </si>
  <si>
    <t>(66,25+3,47+32,85+2,85+34,85+1,88+38,85+4,37)</t>
  </si>
  <si>
    <t>(68,24+67,91+21,60+32,91+32,91+22,74+29,41+29,98+40,48+27,78)</t>
  </si>
  <si>
    <t>(68,24+67,91+21,60+32,91+106,85+41,34+11,63+35,95+3,76+39,28+2,40+44,97+2,70+3,14+56,72+11,18/20)x2</t>
  </si>
  <si>
    <t xml:space="preserve">3921,57+1144,81 conforme área de hachura no cad </t>
  </si>
  <si>
    <t>(3921,57m²x0,03m)+(1144,81x0,04)</t>
  </si>
  <si>
    <t>163,44x73km</t>
  </si>
  <si>
    <t>5066,38m² x 448Km x 0,0012 Kg/M²</t>
  </si>
  <si>
    <t>5066,38m² x 0,00045kg/m² x 448Km</t>
  </si>
  <si>
    <t>1</t>
  </si>
  <si>
    <t>LOCAÇÃO TOPOGRÁFICA DE VINTE UM (21) ATÉ CINQUENTA (50) PONTOS REFERENCIAIS, INCLUSIVE ESTACA (PIQUETE) DE MARCAÇÃO</t>
  </si>
  <si>
    <t>REGULARIZAÇÃO E COMPACTAÇÃO DE SUBLEITO DE SOLO PREDOMINANTEMENTE ARGILOSO, PARA OBRAS DE CONSTRUÇÃO DE PAVIMENTOS. AF_09/2024</t>
  </si>
  <si>
    <t>GUIA (MEIO-FIO) CONCRETO, MOLDADA IN LOCO EM TRECHO RETO COM EXTRUSORA, 15 CM BASE X 30 CM ALTURA. AF_01/2024</t>
  </si>
  <si>
    <t>GUIA (MEIO-FIO) E SARJETA CONJUGADOS DE CONCRETO, MOLDADA IN LOCO EM TRECHO RETO COM EXTRUSORA, 45 CM BASE (15 CM BASE DA GUIA + 30 CM BASE DA SARJETA) X 22 CM ALTURA. AF_01/2024</t>
  </si>
  <si>
    <t>5839</t>
  </si>
  <si>
    <t>5841</t>
  </si>
  <si>
    <t>83362</t>
  </si>
  <si>
    <t>88316</t>
  </si>
  <si>
    <t>89036</t>
  </si>
  <si>
    <t>91486</t>
  </si>
  <si>
    <t>AQUISIÇÃO DE EMULSÃO ASFÁLTICA  PARA IMPRIMAÇÃO (EAI) EXCLUSIVE TRANSPORTE</t>
  </si>
  <si>
    <t>T</t>
  </si>
  <si>
    <t>IMPRIMAÇÃO COM EMULSÃO ASFÁLTICA (EAI)</t>
  </si>
  <si>
    <t>PINTURA DE LIGAÇÃO COM EMULSÃO ASFÁLTICA RR-1C</t>
  </si>
  <si>
    <t>segunda-feira, 10 de Abril de 2026</t>
  </si>
  <si>
    <t>89035</t>
  </si>
  <si>
    <t>AQUISIÇÃO DE EMULSÃO ASFÁLTICA CATIONICA RR-1C - EXCLUSIVE TRANSPORTE</t>
  </si>
  <si>
    <t>QUANTIDADE</t>
  </si>
  <si>
    <t>TOTAL (R$)</t>
  </si>
  <si>
    <t>IMPRIMAÇÃO COM EMULTÃO ASFÁLTICA (EAI)</t>
  </si>
  <si>
    <r>
      <t xml:space="preserve">TRANSPORTE COM CAMINHÃO TANQUE DE TRANSPORTE DE MATERIAL ASFÁLTICO DE 30000 L, EM VIA URBANAPAVIMENTADA, ADICIONAL PARA DMT EXCEDENTE A 30 KM (UNIDADE: TXKM). AF_07/2020 </t>
    </r>
    <r>
      <rPr>
        <sz val="11"/>
        <color rgb="FFFF0000"/>
        <rFont val="Aptos Narrow"/>
        <family val="2"/>
        <scheme val="minor"/>
      </rPr>
      <t>(EMULSÃO ASFÁLTICA EAI PARA SERVIÇO DE IMPRIMAÇÃO - REFINARIA&gt;OBRA  - DMT EXCEDENTE 30,00KM - DMT TOTAL ATÉ 448,00KM)</t>
    </r>
  </si>
  <si>
    <r>
      <t xml:space="preserve">TRANSPORTE COM CAMINHÃO TANQUE DE TRANSPORTE DE MATERIAL ASFÁLTICO DE 30000 L, EM VIA URBANAPAVIMENTADA, ADICIONAL PARA DMT EXCEDENTE A 30 KM (UNIDADE: TXKM). AF_07/2020 </t>
    </r>
    <r>
      <rPr>
        <sz val="11"/>
        <color rgb="FFFF0000"/>
        <rFont val="Aptos Narrow"/>
        <family val="2"/>
        <scheme val="minor"/>
      </rPr>
      <t>(EMULSÃO ASFÁLTICA RR-1C PARA SERVIÇO DE PINTURA DE LIGAÇÃO - REFINARIA&gt;OBRA  - DMT EXCEDENTE 30,00KM - DMT TOTAL ATÉ 448,00KM)</t>
    </r>
  </si>
  <si>
    <t>PISTA DE VAQUEJADA</t>
  </si>
  <si>
    <t>AVENIDA BENEDITO PEREIRA LIMA</t>
  </si>
  <si>
    <t>PAVIMENTAÇÃO DO PARQUE DE VAQUEJADA PORTAL DA LAGOA E AVENIDA BENEDITO PEREIRA LIMA</t>
  </si>
  <si>
    <t>REVESTIMENTO ASFÁLTICO - CBUQ</t>
  </si>
  <si>
    <t>MG20264928207</t>
  </si>
  <si>
    <t>PAVIMENTAÇÃO ASFÁLTICA EM CBUQ NA AVENIDA BENEDITO PEREIRA LIMA E PARQUE DE VAQUEJADA PORTAL DA LAGOA, ZONA URBANA DO MUNICÍPIO DE SÃO JOÃO DA LAGOA/MG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</si>
</sst>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R$ &quot;* #,##0.00_);_(&quot;R$ &quot;* \(#,##0.00\);_(&quot;R$ &quot;* \-??_);_(@_)"/>
    <numFmt numFmtId="165" formatCode="General;General"/>
    <numFmt numFmtId="166" formatCode="[$-F800]dddd\,\ mmmm\ dd\,\ yyyy"/>
    <numFmt numFmtId="167" formatCode="dd&quot; de &quot;mmmm&quot; de &quot;yyyy"/>
    <numFmt numFmtId="168" formatCode="_(* #,##0.00_);_(* \(#,##0.00\);_(* \-??_);_(@_)"/>
    <numFmt numFmtId="169" formatCode="0\."/>
    <numFmt numFmtId="170" formatCode="_-* #,##0.00_-;\-* #,##0.00_-;_-* \-??_-;_-@_-"/>
    <numFmt numFmtId="171" formatCode="_(\ #,##0.00_);_(&quot; (&quot;#,##0.00\);_(&quot; -&quot;??_);_(@_)"/>
    <numFmt numFmtId="172" formatCode="mm/yy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2"/>
      <name val="Calibri"/>
      <family val="2"/>
    </font>
    <font>
      <i/>
      <u/>
      <sz val="12"/>
      <name val="Calibri"/>
      <family val="2"/>
    </font>
    <font>
      <u/>
      <sz val="10"/>
      <name val="Arial"/>
      <family val="2"/>
    </font>
    <font>
      <sz val="12"/>
      <name val="Arial"/>
      <family val="2"/>
    </font>
    <font>
      <sz val="11"/>
      <name val="Times New Roman"/>
      <family val="1"/>
    </font>
    <font>
      <sz val="8"/>
      <name val="Aptos Narrow"/>
      <family val="2"/>
      <scheme val="minor"/>
    </font>
    <font>
      <sz val="10"/>
      <color indexed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FF0000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23"/>
        <bgColor indexed="55"/>
      </patternFill>
    </fill>
    <fill>
      <patternFill patternType="lightUp">
        <fgColor indexed="2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42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indexed="42"/>
      </patternFill>
    </fill>
    <fill>
      <patternFill patternType="solid">
        <fgColor theme="2" tint="-0.499984740745262"/>
        <bgColor indexed="26"/>
      </patternFill>
    </fill>
    <fill>
      <patternFill patternType="lightUp"/>
    </fill>
    <fill>
      <patternFill patternType="solid">
        <fgColor theme="1" tint="0.34998626667073579"/>
        <bgColor indexed="5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164" fontId="3" fillId="0" borderId="0" applyFill="0" applyBorder="0" applyAlignment="0" applyProtection="0"/>
    <xf numFmtId="0" fontId="19" fillId="0" borderId="0"/>
    <xf numFmtId="170" fontId="3" fillId="0" borderId="0" applyFill="0" applyBorder="0" applyAlignment="0" applyProtection="0"/>
    <xf numFmtId="9" fontId="3" fillId="0" borderId="0" applyFill="0" applyBorder="0" applyAlignment="0" applyProtection="0"/>
  </cellStyleXfs>
  <cellXfs count="235">
    <xf numFmtId="0" fontId="0" fillId="0" borderId="0" xfId="0"/>
    <xf numFmtId="0" fontId="8" fillId="0" borderId="3" xfId="2" applyFont="1" applyBorder="1" applyAlignment="1">
      <alignment horizontal="center" vertical="center"/>
    </xf>
    <xf numFmtId="10" fontId="8" fillId="2" borderId="3" xfId="2" applyNumberFormat="1" applyFont="1" applyFill="1" applyBorder="1" applyAlignment="1" applyProtection="1">
      <alignment horizontal="center" vertical="center"/>
      <protection locked="0"/>
    </xf>
    <xf numFmtId="10" fontId="8" fillId="0" borderId="3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10" fontId="7" fillId="4" borderId="3" xfId="2" applyNumberFormat="1" applyFont="1" applyFill="1" applyBorder="1" applyAlignment="1">
      <alignment horizontal="center" vertical="center"/>
    </xf>
    <xf numFmtId="10" fontId="0" fillId="0" borderId="0" xfId="0" applyNumberFormat="1"/>
    <xf numFmtId="0" fontId="0" fillId="5" borderId="0" xfId="2" applyFont="1" applyFill="1" applyAlignment="1">
      <alignment horizontal="center" vertical="top"/>
    </xf>
    <xf numFmtId="0" fontId="11" fillId="5" borderId="0" xfId="2" applyFont="1" applyFill="1" applyAlignment="1">
      <alignment horizontal="center" vertical="top"/>
    </xf>
    <xf numFmtId="0" fontId="0" fillId="5" borderId="0" xfId="2" applyFont="1" applyFill="1"/>
    <xf numFmtId="167" fontId="0" fillId="5" borderId="0" xfId="2" applyNumberFormat="1" applyFont="1" applyFill="1"/>
    <xf numFmtId="0" fontId="5" fillId="5" borderId="5" xfId="2" applyFont="1" applyFill="1" applyBorder="1" applyAlignment="1">
      <alignment horizontal="left"/>
    </xf>
    <xf numFmtId="0" fontId="0" fillId="5" borderId="5" xfId="2" applyFont="1" applyFill="1" applyBorder="1"/>
    <xf numFmtId="0" fontId="8" fillId="5" borderId="0" xfId="2" applyFont="1" applyFill="1"/>
    <xf numFmtId="0" fontId="5" fillId="5" borderId="0" xfId="3" applyFont="1" applyFill="1" applyAlignment="1">
      <alignment horizontal="left" vertical="top"/>
    </xf>
    <xf numFmtId="0" fontId="6" fillId="5" borderId="0" xfId="2" applyFont="1" applyFill="1" applyAlignment="1">
      <alignment horizontal="left"/>
    </xf>
    <xf numFmtId="0" fontId="0" fillId="5" borderId="0" xfId="0" applyFill="1"/>
    <xf numFmtId="0" fontId="4" fillId="5" borderId="0" xfId="2" applyFont="1" applyFill="1" applyAlignment="1">
      <alignment horizontal="center"/>
    </xf>
    <xf numFmtId="0" fontId="5" fillId="5" borderId="0" xfId="2" applyFont="1" applyFill="1"/>
    <xf numFmtId="0" fontId="0" fillId="5" borderId="10" xfId="0" applyFill="1" applyBorder="1"/>
    <xf numFmtId="0" fontId="0" fillId="5" borderId="12" xfId="0" applyFill="1" applyBorder="1"/>
    <xf numFmtId="0" fontId="0" fillId="5" borderId="11" xfId="0" applyFill="1" applyBorder="1"/>
    <xf numFmtId="0" fontId="0" fillId="5" borderId="14" xfId="0" applyFill="1" applyBorder="1"/>
    <xf numFmtId="0" fontId="0" fillId="5" borderId="13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8" borderId="8" xfId="0" applyFill="1" applyBorder="1"/>
    <xf numFmtId="0" fontId="0" fillId="8" borderId="4" xfId="0" applyFill="1" applyBorder="1"/>
    <xf numFmtId="0" fontId="0" fillId="8" borderId="9" xfId="0" applyFill="1" applyBorder="1"/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49" fontId="5" fillId="7" borderId="19" xfId="0" applyNumberFormat="1" applyFont="1" applyFill="1" applyBorder="1" applyAlignment="1">
      <alignment horizontal="center" vertical="center"/>
    </xf>
    <xf numFmtId="168" fontId="5" fillId="7" borderId="19" xfId="1" applyNumberFormat="1" applyFont="1" applyFill="1" applyBorder="1" applyAlignment="1" applyProtection="1">
      <alignment horizontal="center" vertical="center"/>
    </xf>
    <xf numFmtId="168" fontId="5" fillId="7" borderId="19" xfId="1" applyNumberFormat="1" applyFont="1" applyFill="1" applyBorder="1" applyAlignment="1" applyProtection="1">
      <alignment horizontal="center" vertical="center" shrinkToFit="1"/>
    </xf>
    <xf numFmtId="0" fontId="2" fillId="12" borderId="19" xfId="0" applyFont="1" applyFill="1" applyBorder="1" applyAlignment="1">
      <alignment vertical="center" wrapText="1" shrinkToFit="1"/>
    </xf>
    <xf numFmtId="49" fontId="2" fillId="13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1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14" borderId="19" xfId="0" applyFont="1" applyFill="1" applyBorder="1" applyAlignment="1" applyProtection="1">
      <alignment horizontal="left" vertical="center" wrapText="1"/>
      <protection locked="0"/>
    </xf>
    <xf numFmtId="0" fontId="2" fillId="14" borderId="19" xfId="0" applyFont="1" applyFill="1" applyBorder="1" applyAlignment="1" applyProtection="1">
      <alignment horizontal="center" vertical="center" wrapText="1"/>
      <protection locked="0"/>
    </xf>
    <xf numFmtId="168" fontId="2" fillId="12" borderId="19" xfId="1" applyNumberFormat="1" applyFont="1" applyFill="1" applyBorder="1" applyAlignment="1" applyProtection="1">
      <alignment vertical="center" shrinkToFit="1"/>
    </xf>
    <xf numFmtId="43" fontId="2" fillId="14" borderId="19" xfId="1" applyFont="1" applyFill="1" applyBorder="1" applyAlignment="1" applyProtection="1">
      <alignment vertical="center" wrapText="1"/>
      <protection locked="0"/>
    </xf>
    <xf numFmtId="168" fontId="2" fillId="12" borderId="19" xfId="1" applyNumberFormat="1" applyFont="1" applyFill="1" applyBorder="1" applyAlignment="1" applyProtection="1">
      <alignment horizontal="center" vertical="center" shrinkToFit="1"/>
    </xf>
    <xf numFmtId="0" fontId="2" fillId="9" borderId="19" xfId="0" applyFont="1" applyFill="1" applyBorder="1" applyAlignment="1">
      <alignment vertical="center" wrapText="1" shrinkToFit="1"/>
    </xf>
    <xf numFmtId="49" fontId="2" fillId="10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11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19" xfId="0" applyFont="1" applyFill="1" applyBorder="1" applyAlignment="1" applyProtection="1">
      <alignment horizontal="left" vertical="center" wrapText="1"/>
      <protection locked="0"/>
    </xf>
    <xf numFmtId="0" fontId="2" fillId="11" borderId="19" xfId="0" applyFont="1" applyFill="1" applyBorder="1" applyAlignment="1" applyProtection="1">
      <alignment horizontal="center" vertical="center" wrapText="1"/>
      <protection locked="0"/>
    </xf>
    <xf numFmtId="168" fontId="2" fillId="9" borderId="19" xfId="1" applyNumberFormat="1" applyFont="1" applyFill="1" applyBorder="1" applyAlignment="1" applyProtection="1">
      <alignment vertical="center" shrinkToFit="1"/>
    </xf>
    <xf numFmtId="43" fontId="2" fillId="11" borderId="19" xfId="1" applyFont="1" applyFill="1" applyBorder="1" applyAlignment="1" applyProtection="1">
      <alignment vertical="center" wrapText="1"/>
      <protection locked="0"/>
    </xf>
    <xf numFmtId="168" fontId="2" fillId="9" borderId="19" xfId="1" applyNumberFormat="1" applyFont="1" applyFill="1" applyBorder="1" applyAlignment="1" applyProtection="1">
      <alignment horizontal="center" vertical="center" shrinkToFit="1"/>
    </xf>
    <xf numFmtId="0" fontId="0" fillId="0" borderId="19" xfId="0" applyBorder="1" applyAlignment="1">
      <alignment vertical="center" wrapText="1" shrinkToFit="1"/>
    </xf>
    <xf numFmtId="49" fontId="0" fillId="3" borderId="19" xfId="0" applyNumberForma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168" fontId="0" fillId="0" borderId="19" xfId="1" applyNumberFormat="1" applyFont="1" applyFill="1" applyBorder="1" applyAlignment="1" applyProtection="1">
      <alignment vertical="center" shrinkToFit="1"/>
    </xf>
    <xf numFmtId="43" fontId="0" fillId="2" borderId="19" xfId="1" applyFont="1" applyFill="1" applyBorder="1" applyAlignment="1" applyProtection="1">
      <alignment vertical="center" wrapText="1"/>
      <protection locked="0"/>
    </xf>
    <xf numFmtId="168" fontId="0" fillId="0" borderId="19" xfId="1" applyNumberFormat="1" applyFont="1" applyFill="1" applyBorder="1" applyAlignment="1" applyProtection="1">
      <alignment horizontal="center" vertical="center" shrinkToFit="1"/>
    </xf>
    <xf numFmtId="168" fontId="0" fillId="0" borderId="0" xfId="0" applyNumberFormat="1"/>
    <xf numFmtId="0" fontId="8" fillId="5" borderId="0" xfId="0" applyFont="1" applyFill="1" applyAlignment="1">
      <alignment horizontal="left" wrapText="1"/>
    </xf>
    <xf numFmtId="0" fontId="7" fillId="5" borderId="12" xfId="2" applyFont="1" applyFill="1" applyBorder="1" applyAlignment="1">
      <alignment vertical="center"/>
    </xf>
    <xf numFmtId="0" fontId="5" fillId="5" borderId="0" xfId="0" applyFont="1" applyFill="1"/>
    <xf numFmtId="0" fontId="0" fillId="5" borderId="0" xfId="2" applyFont="1" applyFill="1" applyAlignment="1">
      <alignment vertical="center"/>
    </xf>
    <xf numFmtId="0" fontId="5" fillId="5" borderId="5" xfId="0" applyFont="1" applyFill="1" applyBorder="1"/>
    <xf numFmtId="0" fontId="0" fillId="5" borderId="5" xfId="0" applyFill="1" applyBorder="1"/>
    <xf numFmtId="0" fontId="0" fillId="5" borderId="5" xfId="2" applyFont="1" applyFill="1" applyBorder="1" applyAlignment="1">
      <alignment horizontal="left" vertical="top" wrapText="1"/>
    </xf>
    <xf numFmtId="0" fontId="0" fillId="5" borderId="5" xfId="2" applyFont="1" applyFill="1" applyBorder="1" applyAlignment="1">
      <alignment vertical="top" wrapText="1"/>
    </xf>
    <xf numFmtId="0" fontId="2" fillId="5" borderId="0" xfId="2" applyFont="1" applyFill="1" applyAlignment="1">
      <alignment vertical="top" wrapText="1"/>
    </xf>
    <xf numFmtId="0" fontId="2" fillId="5" borderId="21" xfId="2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49" fontId="0" fillId="2" borderId="19" xfId="1" applyNumberFormat="1" applyFont="1" applyFill="1" applyBorder="1" applyAlignment="1" applyProtection="1">
      <alignment horizontal="left" vertical="center" wrapText="1" shrinkToFit="1"/>
      <protection locked="0"/>
    </xf>
    <xf numFmtId="0" fontId="16" fillId="0" borderId="19" xfId="1" applyNumberFormat="1" applyFont="1" applyFill="1" applyBorder="1" applyAlignment="1" applyProtection="1">
      <alignment vertical="center" wrapText="1" shrinkToFit="1"/>
    </xf>
    <xf numFmtId="43" fontId="0" fillId="2" borderId="19" xfId="1" applyFont="1" applyFill="1" applyBorder="1" applyAlignment="1" applyProtection="1">
      <alignment vertical="center" shrinkToFit="1"/>
      <protection locked="0"/>
    </xf>
    <xf numFmtId="0" fontId="5" fillId="16" borderId="19" xfId="0" applyFont="1" applyFill="1" applyBorder="1" applyAlignment="1">
      <alignment horizontal="center" vertical="center"/>
    </xf>
    <xf numFmtId="4" fontId="5" fillId="16" borderId="19" xfId="0" applyNumberFormat="1" applyFont="1" applyFill="1" applyBorder="1" applyAlignment="1">
      <alignment horizontal="right" vertical="center" shrinkToFit="1"/>
    </xf>
    <xf numFmtId="0" fontId="2" fillId="9" borderId="19" xfId="0" applyFont="1" applyFill="1" applyBorder="1" applyAlignment="1">
      <alignment horizontal="left" vertical="center" wrapText="1"/>
    </xf>
    <xf numFmtId="0" fontId="2" fillId="9" borderId="19" xfId="0" applyFont="1" applyFill="1" applyBorder="1" applyAlignment="1">
      <alignment horizontal="center" vertical="center" wrapText="1"/>
    </xf>
    <xf numFmtId="49" fontId="2" fillId="11" borderId="19" xfId="1" applyNumberFormat="1" applyFont="1" applyFill="1" applyBorder="1" applyAlignment="1" applyProtection="1">
      <alignment horizontal="left" vertical="center" wrapText="1" shrinkToFit="1"/>
      <protection locked="0"/>
    </xf>
    <xf numFmtId="0" fontId="18" fillId="9" borderId="19" xfId="1" applyNumberFormat="1" applyFont="1" applyFill="1" applyBorder="1" applyAlignment="1" applyProtection="1">
      <alignment vertical="center" wrapText="1" shrinkToFit="1"/>
    </xf>
    <xf numFmtId="43" fontId="2" fillId="11" borderId="19" xfId="1" applyFont="1" applyFill="1" applyBorder="1" applyAlignment="1" applyProtection="1">
      <alignment vertical="center" shrinkToFit="1"/>
      <protection locked="0"/>
    </xf>
    <xf numFmtId="0" fontId="17" fillId="9" borderId="1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5" borderId="0" xfId="2" applyFont="1" applyFill="1" applyAlignment="1">
      <alignment horizontal="left" vertical="center" wrapText="1"/>
    </xf>
    <xf numFmtId="0" fontId="13" fillId="5" borderId="0" xfId="4" applyNumberFormat="1" applyFont="1" applyFill="1" applyBorder="1" applyAlignment="1" applyProtection="1">
      <alignment horizontal="left" vertical="center" wrapText="1"/>
    </xf>
    <xf numFmtId="0" fontId="2" fillId="9" borderId="19" xfId="0" applyFont="1" applyFill="1" applyBorder="1" applyAlignment="1">
      <alignment vertical="center"/>
    </xf>
    <xf numFmtId="0" fontId="2" fillId="9" borderId="19" xfId="0" applyFont="1" applyFill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5" borderId="17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20" fillId="5" borderId="19" xfId="5" applyFont="1" applyFill="1" applyBorder="1" applyAlignment="1" applyProtection="1">
      <alignment horizontal="center" vertical="center"/>
      <protection locked="0"/>
    </xf>
    <xf numFmtId="0" fontId="20" fillId="0" borderId="19" xfId="5" applyFont="1" applyBorder="1" applyAlignment="1">
      <alignment horizontal="center" vertical="center"/>
    </xf>
    <xf numFmtId="172" fontId="20" fillId="5" borderId="19" xfId="5" applyNumberFormat="1" applyFont="1" applyFill="1" applyBorder="1" applyAlignment="1" applyProtection="1">
      <alignment horizontal="center" vertical="center"/>
      <protection locked="0"/>
    </xf>
    <xf numFmtId="169" fontId="21" fillId="0" borderId="19" xfId="5" applyNumberFormat="1" applyFont="1" applyBorder="1" applyAlignment="1">
      <alignment horizontal="left" vertical="center"/>
    </xf>
    <xf numFmtId="171" fontId="1" fillId="0" borderId="19" xfId="1" applyNumberFormat="1" applyFill="1" applyBorder="1" applyAlignment="1" applyProtection="1">
      <alignment horizontal="right" vertical="center" shrinkToFit="1"/>
    </xf>
    <xf numFmtId="171" fontId="0" fillId="0" borderId="19" xfId="1" applyNumberFormat="1" applyFont="1" applyFill="1" applyBorder="1" applyAlignment="1" applyProtection="1">
      <alignment horizontal="center" vertical="center"/>
    </xf>
    <xf numFmtId="10" fontId="15" fillId="0" borderId="19" xfId="7" applyNumberFormat="1" applyFont="1" applyFill="1" applyBorder="1" applyAlignment="1" applyProtection="1">
      <alignment horizontal="center" vertical="center"/>
    </xf>
    <xf numFmtId="170" fontId="0" fillId="4" borderId="19" xfId="6" applyFont="1" applyFill="1" applyBorder="1" applyAlignment="1" applyProtection="1">
      <alignment horizontal="right" vertical="center"/>
    </xf>
    <xf numFmtId="10" fontId="15" fillId="5" borderId="19" xfId="7" applyNumberFormat="1" applyFont="1" applyFill="1" applyBorder="1" applyAlignment="1" applyProtection="1">
      <alignment horizontal="center" vertical="center"/>
    </xf>
    <xf numFmtId="170" fontId="5" fillId="4" borderId="19" xfId="6" applyFont="1" applyFill="1" applyBorder="1" applyAlignment="1" applyProtection="1">
      <alignment horizontal="right" vertical="center"/>
    </xf>
    <xf numFmtId="170" fontId="22" fillId="18" borderId="19" xfId="6" applyFont="1" applyFill="1" applyBorder="1" applyAlignment="1" applyProtection="1">
      <alignment horizontal="center" vertical="center" shrinkToFit="1"/>
    </xf>
    <xf numFmtId="10" fontId="15" fillId="5" borderId="0" xfId="7" applyNumberFormat="1" applyFont="1" applyFill="1" applyBorder="1" applyAlignment="1" applyProtection="1">
      <alignment horizontal="center" vertical="center"/>
    </xf>
    <xf numFmtId="10" fontId="21" fillId="0" borderId="19" xfId="5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textRotation="90" wrapText="1"/>
    </xf>
    <xf numFmtId="0" fontId="12" fillId="5" borderId="0" xfId="0" applyFont="1" applyFill="1" applyAlignment="1">
      <alignment horizontal="center" vertical="center"/>
    </xf>
    <xf numFmtId="0" fontId="0" fillId="19" borderId="19" xfId="0" applyFill="1" applyBorder="1" applyAlignment="1">
      <alignment vertical="center" wrapText="1"/>
    </xf>
    <xf numFmtId="0" fontId="0" fillId="0" borderId="19" xfId="0" applyBorder="1" applyAlignment="1">
      <alignment horizontal="justify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3" fillId="5" borderId="0" xfId="2" applyFill="1"/>
    <xf numFmtId="0" fontId="3" fillId="5" borderId="0" xfId="2" applyFill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5" fillId="16" borderId="19" xfId="0" applyFont="1" applyFill="1" applyBorder="1" applyAlignment="1">
      <alignment horizontal="center" vertical="center" wrapText="1"/>
    </xf>
    <xf numFmtId="168" fontId="0" fillId="19" borderId="19" xfId="1" applyNumberFormat="1" applyFont="1" applyFill="1" applyBorder="1" applyAlignment="1" applyProtection="1">
      <alignment vertical="center" shrinkToFit="1"/>
    </xf>
    <xf numFmtId="10" fontId="0" fillId="5" borderId="20" xfId="2" applyNumberFormat="1" applyFont="1" applyFill="1" applyBorder="1" applyAlignment="1">
      <alignment horizontal="center" vertical="center" wrapText="1"/>
    </xf>
    <xf numFmtId="43" fontId="0" fillId="0" borderId="0" xfId="0" applyNumberFormat="1"/>
    <xf numFmtId="2" fontId="0" fillId="0" borderId="0" xfId="0" applyNumberFormat="1"/>
    <xf numFmtId="10" fontId="21" fillId="0" borderId="19" xfId="5" applyNumberFormat="1" applyFont="1" applyBorder="1" applyAlignment="1">
      <alignment horizontal="left" vertical="center" wrapText="1"/>
    </xf>
    <xf numFmtId="0" fontId="5" fillId="5" borderId="0" xfId="3" applyFont="1" applyFill="1" applyAlignment="1">
      <alignment horizontal="left" vertical="center"/>
    </xf>
    <xf numFmtId="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1" fontId="0" fillId="0" borderId="0" xfId="0" applyNumberFormat="1"/>
    <xf numFmtId="0" fontId="0" fillId="5" borderId="12" xfId="2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vertical="center" wrapText="1"/>
    </xf>
    <xf numFmtId="0" fontId="0" fillId="5" borderId="19" xfId="0" applyFill="1" applyBorder="1" applyAlignment="1">
      <alignment horizontal="center" vertical="center"/>
    </xf>
    <xf numFmtId="0" fontId="23" fillId="9" borderId="19" xfId="0" applyFont="1" applyFill="1" applyBorder="1" applyAlignment="1">
      <alignment horizontal="center" vertical="center"/>
    </xf>
    <xf numFmtId="0" fontId="23" fillId="9" borderId="19" xfId="0" applyFont="1" applyFill="1" applyBorder="1" applyAlignment="1">
      <alignment horizontal="left" vertical="center" wrapText="1"/>
    </xf>
    <xf numFmtId="0" fontId="23" fillId="9" borderId="19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168" fontId="0" fillId="9" borderId="19" xfId="1" applyNumberFormat="1" applyFont="1" applyFill="1" applyBorder="1" applyAlignment="1" applyProtection="1">
      <alignment vertical="center" shrinkToFit="1"/>
    </xf>
    <xf numFmtId="170" fontId="0" fillId="4" borderId="20" xfId="6" applyFont="1" applyFill="1" applyBorder="1" applyAlignment="1" applyProtection="1">
      <alignment horizontal="right" vertical="center"/>
    </xf>
    <xf numFmtId="10" fontId="15" fillId="5" borderId="20" xfId="7" applyNumberFormat="1" applyFont="1" applyFill="1" applyBorder="1" applyAlignment="1" applyProtection="1">
      <alignment horizontal="center" vertical="center"/>
    </xf>
    <xf numFmtId="0" fontId="2" fillId="20" borderId="19" xfId="0" applyFont="1" applyFill="1" applyBorder="1" applyAlignment="1">
      <alignment horizontal="center"/>
    </xf>
    <xf numFmtId="49" fontId="23" fillId="9" borderId="19" xfId="0" applyNumberFormat="1" applyFont="1" applyFill="1" applyBorder="1" applyAlignment="1">
      <alignment horizontal="center" vertical="center"/>
    </xf>
    <xf numFmtId="2" fontId="24" fillId="5" borderId="19" xfId="0" applyNumberFormat="1" applyFont="1" applyFill="1" applyBorder="1" applyAlignment="1">
      <alignment horizontal="center" vertical="center" wrapText="1"/>
    </xf>
    <xf numFmtId="0" fontId="6" fillId="5" borderId="0" xfId="2" applyFont="1" applyFill="1" applyAlignment="1">
      <alignment horizontal="center" vertical="center"/>
    </xf>
    <xf numFmtId="0" fontId="6" fillId="5" borderId="0" xfId="2" applyFont="1" applyFill="1" applyAlignment="1">
      <alignment horizontal="left" vertical="center"/>
    </xf>
    <xf numFmtId="0" fontId="5" fillId="5" borderId="6" xfId="3" applyFont="1" applyFill="1" applyBorder="1" applyAlignment="1">
      <alignment horizontal="left" vertical="top"/>
    </xf>
    <xf numFmtId="0" fontId="5" fillId="5" borderId="0" xfId="3" applyFont="1" applyFill="1" applyAlignment="1">
      <alignment horizontal="left" vertical="top"/>
    </xf>
    <xf numFmtId="0" fontId="5" fillId="5" borderId="7" xfId="3" applyFont="1" applyFill="1" applyBorder="1" applyAlignment="1">
      <alignment horizontal="left" vertical="top"/>
    </xf>
    <xf numFmtId="0" fontId="0" fillId="5" borderId="8" xfId="2" applyFont="1" applyFill="1" applyBorder="1" applyAlignment="1">
      <alignment horizontal="left" vertical="top" wrapText="1"/>
    </xf>
    <xf numFmtId="0" fontId="0" fillId="5" borderId="4" xfId="2" applyFont="1" applyFill="1" applyBorder="1" applyAlignment="1">
      <alignment horizontal="left" vertical="top" wrapText="1"/>
    </xf>
    <xf numFmtId="0" fontId="0" fillId="5" borderId="9" xfId="2" applyFont="1" applyFill="1" applyBorder="1" applyAlignment="1">
      <alignment horizontal="left" vertical="top" wrapText="1"/>
    </xf>
    <xf numFmtId="49" fontId="0" fillId="6" borderId="3" xfId="2" applyNumberFormat="1" applyFont="1" applyFill="1" applyBorder="1" applyAlignment="1" applyProtection="1">
      <alignment horizontal="left" vertical="top" wrapText="1"/>
      <protection locked="0"/>
    </xf>
    <xf numFmtId="165" fontId="0" fillId="5" borderId="4" xfId="2" applyNumberFormat="1" applyFont="1" applyFill="1" applyBorder="1" applyAlignment="1">
      <alignment horizontal="left"/>
    </xf>
    <xf numFmtId="166" fontId="0" fillId="5" borderId="4" xfId="2" applyNumberFormat="1" applyFont="1" applyFill="1" applyBorder="1" applyAlignment="1">
      <alignment horizontal="left"/>
    </xf>
    <xf numFmtId="0" fontId="5" fillId="5" borderId="0" xfId="2" applyFont="1" applyFill="1" applyAlignment="1">
      <alignment horizontal="left" vertical="center"/>
    </xf>
    <xf numFmtId="0" fontId="7" fillId="5" borderId="0" xfId="2" applyFont="1" applyFill="1" applyAlignment="1">
      <alignment horizontal="left" vertical="center"/>
    </xf>
    <xf numFmtId="0" fontId="0" fillId="5" borderId="5" xfId="2" applyFont="1" applyFill="1" applyBorder="1" applyAlignment="1">
      <alignment horizontal="center" vertical="center"/>
    </xf>
    <xf numFmtId="0" fontId="9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top"/>
    </xf>
    <xf numFmtId="0" fontId="6" fillId="5" borderId="3" xfId="2" applyFont="1" applyFill="1" applyBorder="1" applyAlignment="1">
      <alignment horizontal="left" vertical="center" wrapText="1"/>
    </xf>
    <xf numFmtId="0" fontId="0" fillId="0" borderId="3" xfId="2" applyFont="1" applyBorder="1" applyAlignment="1">
      <alignment horizontal="left" vertical="center" wrapText="1"/>
    </xf>
    <xf numFmtId="0" fontId="8" fillId="4" borderId="3" xfId="2" applyFont="1" applyFill="1" applyBorder="1" applyAlignment="1">
      <alignment horizontal="left" vertical="center" wrapText="1"/>
    </xf>
    <xf numFmtId="0" fontId="0" fillId="5" borderId="0" xfId="2" applyFont="1" applyFill="1" applyAlignment="1">
      <alignment horizontal="center" vertical="center"/>
    </xf>
    <xf numFmtId="0" fontId="6" fillId="0" borderId="3" xfId="2" applyFont="1" applyBorder="1" applyAlignment="1">
      <alignment horizontal="left"/>
    </xf>
    <xf numFmtId="10" fontId="6" fillId="2" borderId="3" xfId="2" applyNumberFormat="1" applyFont="1" applyFill="1" applyBorder="1" applyAlignment="1" applyProtection="1">
      <alignment horizontal="center"/>
      <protection locked="0"/>
    </xf>
    <xf numFmtId="0" fontId="4" fillId="0" borderId="3" xfId="2" applyFont="1" applyBorder="1" applyAlignment="1">
      <alignment horizontal="center"/>
    </xf>
    <xf numFmtId="0" fontId="5" fillId="0" borderId="1" xfId="3" applyFont="1" applyBorder="1" applyAlignment="1">
      <alignment horizontal="left" vertical="top"/>
    </xf>
    <xf numFmtId="164" fontId="6" fillId="3" borderId="2" xfId="4" applyFont="1" applyFill="1" applyBorder="1" applyAlignment="1" applyProtection="1">
      <alignment horizontal="left"/>
      <protection locked="0"/>
    </xf>
    <xf numFmtId="0" fontId="7" fillId="0" borderId="3" xfId="2" applyFont="1" applyBorder="1" applyAlignment="1">
      <alignment horizontal="center" vertical="center"/>
    </xf>
    <xf numFmtId="4" fontId="7" fillId="0" borderId="3" xfId="2" applyNumberFormat="1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" xfId="3" applyFont="1" applyFill="1" applyBorder="1" applyAlignment="1">
      <alignment horizontal="left" vertical="top"/>
    </xf>
    <xf numFmtId="0" fontId="6" fillId="5" borderId="2" xfId="4" applyNumberFormat="1" applyFont="1" applyFill="1" applyBorder="1" applyAlignment="1" applyProtection="1">
      <alignment horizontal="left" wrapText="1"/>
    </xf>
    <xf numFmtId="0" fontId="6" fillId="0" borderId="3" xfId="2" applyFont="1" applyBorder="1" applyAlignment="1">
      <alignment horizontal="left" wrapText="1"/>
    </xf>
    <xf numFmtId="0" fontId="0" fillId="5" borderId="13" xfId="2" applyFont="1" applyFill="1" applyBorder="1" applyAlignment="1">
      <alignment horizontal="left" vertical="top" wrapText="1"/>
    </xf>
    <xf numFmtId="0" fontId="0" fillId="5" borderId="12" xfId="2" applyFont="1" applyFill="1" applyBorder="1" applyAlignment="1">
      <alignment horizontal="left" vertical="top" wrapText="1"/>
    </xf>
    <xf numFmtId="0" fontId="0" fillId="5" borderId="11" xfId="2" applyFont="1" applyFill="1" applyBorder="1" applyAlignment="1">
      <alignment horizontal="left" vertical="top" wrapText="1"/>
    </xf>
    <xf numFmtId="0" fontId="2" fillId="5" borderId="14" xfId="2" applyFont="1" applyFill="1" applyBorder="1" applyAlignment="1">
      <alignment horizontal="center" vertical="top" wrapText="1"/>
    </xf>
    <xf numFmtId="0" fontId="2" fillId="5" borderId="0" xfId="2" applyFont="1" applyFill="1" applyAlignment="1">
      <alignment horizontal="center" vertical="top" wrapText="1"/>
    </xf>
    <xf numFmtId="0" fontId="2" fillId="5" borderId="10" xfId="2" applyFont="1" applyFill="1" applyBorder="1" applyAlignment="1">
      <alignment horizontal="center" vertical="top" wrapText="1"/>
    </xf>
    <xf numFmtId="0" fontId="0" fillId="5" borderId="13" xfId="2" applyFont="1" applyFill="1" applyBorder="1" applyAlignment="1">
      <alignment horizontal="center" vertical="center" wrapText="1"/>
    </xf>
    <xf numFmtId="0" fontId="0" fillId="5" borderId="11" xfId="2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5" fillId="5" borderId="10" xfId="3" applyFont="1" applyFill="1" applyBorder="1" applyAlignment="1">
      <alignment horizontal="left" vertical="top"/>
    </xf>
    <xf numFmtId="0" fontId="13" fillId="5" borderId="8" xfId="4" applyNumberFormat="1" applyFont="1" applyFill="1" applyBorder="1" applyAlignment="1" applyProtection="1">
      <alignment horizontal="left" vertical="top" wrapText="1"/>
    </xf>
    <xf numFmtId="0" fontId="13" fillId="5" borderId="4" xfId="4" applyNumberFormat="1" applyFont="1" applyFill="1" applyBorder="1" applyAlignment="1" applyProtection="1">
      <alignment horizontal="left" vertical="top" wrapText="1"/>
    </xf>
    <xf numFmtId="0" fontId="13" fillId="5" borderId="9" xfId="4" applyNumberFormat="1" applyFont="1" applyFill="1" applyBorder="1" applyAlignment="1" applyProtection="1">
      <alignment horizontal="left" vertical="top" wrapText="1"/>
    </xf>
    <xf numFmtId="0" fontId="3" fillId="5" borderId="0" xfId="2" applyFill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65" fontId="0" fillId="5" borderId="4" xfId="0" applyNumberFormat="1" applyFill="1" applyBorder="1" applyAlignment="1">
      <alignment horizontal="left"/>
    </xf>
    <xf numFmtId="0" fontId="1" fillId="5" borderId="6" xfId="2" applyFont="1" applyFill="1" applyBorder="1" applyAlignment="1">
      <alignment horizontal="center" vertical="top" wrapText="1"/>
    </xf>
    <xf numFmtId="0" fontId="1" fillId="5" borderId="0" xfId="2" applyFont="1" applyFill="1" applyAlignment="1">
      <alignment horizontal="center" vertical="top" wrapText="1"/>
    </xf>
    <xf numFmtId="0" fontId="1" fillId="5" borderId="7" xfId="2" applyFont="1" applyFill="1" applyBorder="1" applyAlignment="1">
      <alignment horizontal="center" vertical="top" wrapText="1"/>
    </xf>
    <xf numFmtId="0" fontId="5" fillId="7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170" fontId="2" fillId="4" borderId="20" xfId="6" applyFont="1" applyFill="1" applyBorder="1" applyAlignment="1" applyProtection="1">
      <alignment horizontal="center" vertical="center"/>
    </xf>
    <xf numFmtId="170" fontId="2" fillId="4" borderId="19" xfId="6" applyFont="1" applyFill="1" applyBorder="1" applyAlignment="1" applyProtection="1">
      <alignment horizontal="center" vertical="center"/>
    </xf>
    <xf numFmtId="169" fontId="21" fillId="0" borderId="0" xfId="5" applyNumberFormat="1" applyFont="1" applyAlignment="1">
      <alignment horizontal="center" vertical="center"/>
    </xf>
    <xf numFmtId="0" fontId="0" fillId="5" borderId="17" xfId="2" applyFont="1" applyFill="1" applyBorder="1" applyAlignment="1">
      <alignment horizontal="left" vertical="center"/>
    </xf>
    <xf numFmtId="0" fontId="7" fillId="5" borderId="12" xfId="2" applyFont="1" applyFill="1" applyBorder="1" applyAlignment="1">
      <alignment horizontal="center" vertical="center"/>
    </xf>
    <xf numFmtId="0" fontId="21" fillId="8" borderId="19" xfId="5" applyFont="1" applyFill="1" applyBorder="1" applyAlignment="1">
      <alignment horizontal="center" vertical="center"/>
    </xf>
    <xf numFmtId="0" fontId="5" fillId="5" borderId="14" xfId="3" applyFont="1" applyFill="1" applyBorder="1" applyAlignment="1">
      <alignment horizontal="left" vertical="center"/>
    </xf>
    <xf numFmtId="0" fontId="5" fillId="5" borderId="0" xfId="3" applyFont="1" applyFill="1" applyAlignment="1">
      <alignment horizontal="left" vertical="center"/>
    </xf>
    <xf numFmtId="0" fontId="5" fillId="5" borderId="10" xfId="3" applyFont="1" applyFill="1" applyBorder="1" applyAlignment="1">
      <alignment horizontal="left" vertical="center"/>
    </xf>
    <xf numFmtId="0" fontId="13" fillId="5" borderId="13" xfId="4" applyNumberFormat="1" applyFont="1" applyFill="1" applyBorder="1" applyAlignment="1" applyProtection="1">
      <alignment horizontal="left" vertical="center" wrapText="1"/>
    </xf>
    <xf numFmtId="0" fontId="13" fillId="5" borderId="12" xfId="4" applyNumberFormat="1" applyFont="1" applyFill="1" applyBorder="1" applyAlignment="1" applyProtection="1">
      <alignment horizontal="left" vertical="center" wrapText="1"/>
    </xf>
    <xf numFmtId="0" fontId="13" fillId="5" borderId="11" xfId="4" applyNumberFormat="1" applyFont="1" applyFill="1" applyBorder="1" applyAlignment="1" applyProtection="1">
      <alignment horizontal="left" vertical="center" wrapText="1"/>
    </xf>
    <xf numFmtId="0" fontId="20" fillId="0" borderId="19" xfId="5" applyFont="1" applyBorder="1" applyAlignment="1">
      <alignment horizontal="center" vertical="center" wrapText="1"/>
    </xf>
    <xf numFmtId="0" fontId="20" fillId="0" borderId="19" xfId="5" applyFont="1" applyBorder="1" applyAlignment="1">
      <alignment horizontal="left" vertical="center" wrapText="1"/>
    </xf>
    <xf numFmtId="170" fontId="5" fillId="0" borderId="19" xfId="6" applyFont="1" applyFill="1" applyBorder="1" applyAlignment="1" applyProtection="1">
      <alignment horizontal="center" vertical="center" wrapText="1"/>
    </xf>
    <xf numFmtId="171" fontId="5" fillId="0" borderId="19" xfId="1" applyNumberFormat="1" applyFont="1" applyFill="1" applyBorder="1" applyAlignment="1" applyProtection="1">
      <alignment horizontal="center" vertical="center"/>
    </xf>
    <xf numFmtId="0" fontId="0" fillId="5" borderId="13" xfId="2" applyFont="1" applyFill="1" applyBorder="1" applyAlignment="1">
      <alignment horizontal="left" vertical="center" wrapText="1"/>
    </xf>
    <xf numFmtId="0" fontId="0" fillId="5" borderId="11" xfId="2" applyFont="1" applyFill="1" applyBorder="1" applyAlignment="1">
      <alignment horizontal="left" vertical="center" wrapText="1"/>
    </xf>
    <xf numFmtId="0" fontId="2" fillId="17" borderId="22" xfId="0" applyFont="1" applyFill="1" applyBorder="1" applyAlignment="1">
      <alignment horizontal="left" vertical="center" wrapText="1"/>
    </xf>
    <xf numFmtId="0" fontId="2" fillId="17" borderId="23" xfId="0" applyFont="1" applyFill="1" applyBorder="1" applyAlignment="1">
      <alignment horizontal="left" vertical="center" wrapText="1"/>
    </xf>
    <xf numFmtId="0" fontId="2" fillId="17" borderId="24" xfId="0" applyFont="1" applyFill="1" applyBorder="1" applyAlignment="1">
      <alignment horizontal="left" vertical="center" wrapText="1"/>
    </xf>
    <xf numFmtId="0" fontId="0" fillId="5" borderId="12" xfId="2" applyFont="1" applyFill="1" applyBorder="1" applyAlignment="1">
      <alignment horizontal="left" vertical="center" wrapText="1"/>
    </xf>
    <xf numFmtId="165" fontId="0" fillId="5" borderId="12" xfId="0" applyNumberFormat="1" applyFill="1" applyBorder="1" applyAlignment="1">
      <alignment horizontal="left" vertical="center"/>
    </xf>
    <xf numFmtId="0" fontId="15" fillId="15" borderId="19" xfId="0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166" fontId="0" fillId="5" borderId="12" xfId="0" applyNumberForma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0" fillId="0" borderId="19" xfId="0" applyBorder="1" applyAlignment="1">
      <alignment horizontal="center"/>
    </xf>
    <xf numFmtId="0" fontId="2" fillId="20" borderId="22" xfId="0" applyFont="1" applyFill="1" applyBorder="1" applyAlignment="1">
      <alignment horizontal="right"/>
    </xf>
    <xf numFmtId="0" fontId="2" fillId="20" borderId="23" xfId="0" applyFont="1" applyFill="1" applyBorder="1" applyAlignment="1">
      <alignment horizontal="right"/>
    </xf>
    <xf numFmtId="0" fontId="2" fillId="20" borderId="24" xfId="0" applyFont="1" applyFill="1" applyBorder="1" applyAlignment="1">
      <alignment horizontal="right"/>
    </xf>
    <xf numFmtId="0" fontId="0" fillId="5" borderId="19" xfId="0" applyFill="1" applyBorder="1" applyAlignment="1">
      <alignment horizontal="center"/>
    </xf>
  </cellXfs>
  <cellStyles count="8">
    <cellStyle name="Moeda_Composicao BDI v2.1" xfId="4" xr:uid="{77E6601F-97A9-4825-9466-8DA052584CDF}"/>
    <cellStyle name="Normal" xfId="0" builtinId="0"/>
    <cellStyle name="Normal 2" xfId="2" xr:uid="{3FE8E9BA-E88B-410F-AAEC-2B610338A376}"/>
    <cellStyle name="Normal 3" xfId="5" xr:uid="{DB485E2D-25B6-4E75-981B-8CC174FAE600}"/>
    <cellStyle name="Normal_FICHA DE VERIFICAÇÃO PRELIMINAR - Plano R" xfId="3" xr:uid="{44D01A67-047D-449D-8928-C3603CE7E120}"/>
    <cellStyle name="Porcentagem 2" xfId="7" xr:uid="{1024FC5D-2FF1-48D8-A15F-35E89DEDA41C}"/>
    <cellStyle name="Vírgula" xfId="1" builtinId="3"/>
    <cellStyle name="Vírgula 2" xfId="6" xr:uid="{41EF5ADF-E518-4D51-9D78-6981B4CDB70A}"/>
  </cellStyles>
  <dxfs count="49"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44"/>
      </font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 style="thin">
          <color indexed="64"/>
        </top>
        <bottom/>
      </border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9</xdr:row>
      <xdr:rowOff>9525</xdr:rowOff>
    </xdr:from>
    <xdr:to>
      <xdr:col>6</xdr:col>
      <xdr:colOff>1152525</xdr:colOff>
      <xdr:row>20</xdr:row>
      <xdr:rowOff>90582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070FF83-94D5-C6BC-F1E0-DE9B302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324225"/>
          <a:ext cx="8715375" cy="2176557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32</xdr:row>
      <xdr:rowOff>123826</xdr:rowOff>
    </xdr:from>
    <xdr:to>
      <xdr:col>6</xdr:col>
      <xdr:colOff>1019175</xdr:colOff>
      <xdr:row>46</xdr:row>
      <xdr:rowOff>34544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DC91CEF-BEDF-8096-5805-9E1851429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9991726"/>
          <a:ext cx="8410575" cy="2577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AVIMENTA&#199;&#195;O%202025%20-%20400%20MIL/FINAL/Pavimenta&#231;&#227;o%202%20S&#227;o%20Jo&#227;o%20da%20Lagoa%20MG.xls" TargetMode="External"/><Relationship Id="rId2" Type="http://schemas.openxmlformats.org/officeDocument/2006/relationships/externalLinkPath" Target="file:///D:\PREFEITURA\PAVIMENTA&#199;&#195;O%202025%20-%20400%20MIL\FINAL\Pavimenta&#231;&#227;o%202%20S&#227;o%20Jo&#227;o%20da%20Lagoa%20MG.xls" TargetMode="External"/><Relationship Id="rId1" Type="http://schemas.openxmlformats.org/officeDocument/2006/relationships/externalLinkPath" Target="/PREFEITURA/PAVIMENTA&#199;&#195;O%202025%20-%20400%20MIL/FINAL/Pavimenta&#231;&#227;o%202%20S&#227;o%20Jo&#227;o%20da%20Lagoa%20M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  <row r="4">
          <cell r="O4">
            <v>1</v>
          </cell>
        </row>
      </sheetData>
      <sheetData sheetId="1">
        <row r="4">
          <cell r="F4" t="str">
            <v>(SELECIONAR)</v>
          </cell>
        </row>
        <row r="5">
          <cell r="F5" t="str">
            <v>Prefeitura Municipal de São João da Lagoa</v>
          </cell>
        </row>
        <row r="6">
          <cell r="F6" t="str">
            <v>São João da Lagoa  MG</v>
          </cell>
        </row>
        <row r="16">
          <cell r="F16" t="str">
            <v xml:space="preserve">EXECUÇÃO DE PAVIMENTAÇÃO EM BLOCO SEXTAVADO DE CONCRETO DE VIAS URBANAS E RURAIS NO MUNICÍPIO DE SÃO JOÃO DA LAGOA/MG </v>
          </cell>
        </row>
        <row r="17">
          <cell r="F17" t="str">
            <v xml:space="preserve">EXECUÇÃO DE PAVIMENTAÇÃO EM BLOCO SEXTAVADO DE CONCRETO DE VIAS URBANAS E RURAIS NO MUNICÍPIO DE SÃO JOÃO DA LAGOA/MG </v>
          </cell>
        </row>
        <row r="18">
          <cell r="F18" t="str">
            <v>DESONERADO</v>
          </cell>
        </row>
        <row r="22">
          <cell r="F22" t="str">
            <v>LEONARDO PETERSON AMARAL LIMA</v>
          </cell>
        </row>
        <row r="23">
          <cell r="F23" t="str">
            <v>331.073/D</v>
          </cell>
        </row>
        <row r="24">
          <cell r="F24" t="str">
            <v>MG20253837048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>
        <row r="7">
          <cell r="AF7" t="b">
            <v>1</v>
          </cell>
        </row>
      </sheetData>
      <sheetData sheetId="5">
        <row r="15">
          <cell r="M15">
            <v>1</v>
          </cell>
          <cell r="Q15">
            <v>104822.83</v>
          </cell>
        </row>
        <row r="16">
          <cell r="M16" t="str">
            <v/>
          </cell>
        </row>
        <row r="17">
          <cell r="M17" t="str">
            <v/>
          </cell>
        </row>
        <row r="18">
          <cell r="M18">
            <v>2</v>
          </cell>
        </row>
        <row r="19">
          <cell r="M19">
            <v>2</v>
          </cell>
        </row>
        <row r="20">
          <cell r="M20" t="str">
            <v/>
          </cell>
        </row>
        <row r="21">
          <cell r="M21">
            <v>3</v>
          </cell>
        </row>
        <row r="22">
          <cell r="M22" t="str">
            <v/>
          </cell>
        </row>
        <row r="23">
          <cell r="M23">
            <v>4</v>
          </cell>
        </row>
        <row r="24">
          <cell r="M24" t="str">
            <v/>
          </cell>
        </row>
        <row r="25">
          <cell r="M25">
            <v>5</v>
          </cell>
        </row>
        <row r="26">
          <cell r="M26">
            <v>5</v>
          </cell>
        </row>
      </sheetData>
      <sheetData sheetId="6">
        <row r="15">
          <cell r="B15" t="str">
            <v>1.Administração Local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0994-C249-443D-8B26-62C364C4E26F}">
  <dimension ref="A1:L51"/>
  <sheetViews>
    <sheetView topLeftCell="A7" workbookViewId="0">
      <selection activeCell="B10" sqref="B10"/>
    </sheetView>
  </sheetViews>
  <sheetFormatPr defaultRowHeight="15" x14ac:dyDescent="0.25"/>
  <cols>
    <col min="1" max="1" width="2.7109375" customWidth="1"/>
    <col min="2" max="7" width="10.7109375" customWidth="1"/>
    <col min="8" max="8" width="12.85546875" customWidth="1"/>
    <col min="9" max="9" width="7.85546875" customWidth="1"/>
    <col min="10" max="11" width="10.7109375" customWidth="1"/>
    <col min="12" max="12" width="3.7109375" customWidth="1"/>
  </cols>
  <sheetData>
    <row r="1" spans="1:12" ht="4.5" customHeight="1" x14ac:dyDescent="0.25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ht="15.75" x14ac:dyDescent="0.25">
      <c r="A2" s="23"/>
      <c r="B2" s="10"/>
      <c r="C2" s="10"/>
      <c r="D2" s="10"/>
      <c r="E2" s="10"/>
      <c r="F2" s="10"/>
      <c r="G2" s="18" t="str">
        <f>"Quadro de Composição do BDI"</f>
        <v>Quadro de Composição do BDI</v>
      </c>
      <c r="H2" s="10"/>
      <c r="I2" s="10"/>
      <c r="J2" s="175" t="s">
        <v>0</v>
      </c>
      <c r="K2" s="175"/>
      <c r="L2" s="20"/>
    </row>
    <row r="3" spans="1:12" x14ac:dyDescent="0.25">
      <c r="A3" s="23"/>
      <c r="B3" s="10"/>
      <c r="C3" s="10"/>
      <c r="D3" s="10"/>
      <c r="E3" s="10"/>
      <c r="F3" s="10"/>
      <c r="G3" s="10"/>
      <c r="H3" s="10"/>
      <c r="I3" s="10"/>
      <c r="J3" s="176" t="s">
        <v>1</v>
      </c>
      <c r="K3" s="176"/>
      <c r="L3" s="20"/>
    </row>
    <row r="4" spans="1:12" x14ac:dyDescent="0.25">
      <c r="A4" s="23"/>
      <c r="B4" s="10"/>
      <c r="C4" s="10"/>
      <c r="D4" s="10"/>
      <c r="E4" s="10"/>
      <c r="F4" s="10"/>
      <c r="G4" s="10"/>
      <c r="H4" s="10"/>
      <c r="I4" s="10"/>
      <c r="J4" s="10"/>
      <c r="K4" s="10"/>
      <c r="L4" s="20"/>
    </row>
    <row r="5" spans="1:12" x14ac:dyDescent="0.25">
      <c r="A5" s="23"/>
      <c r="B5" s="148" t="s">
        <v>2</v>
      </c>
      <c r="C5" s="149"/>
      <c r="D5" s="149"/>
      <c r="E5" s="149"/>
      <c r="F5" s="149"/>
      <c r="G5" s="149"/>
      <c r="H5" s="149"/>
      <c r="I5" s="149"/>
      <c r="J5" s="149"/>
      <c r="K5" s="150"/>
      <c r="L5" s="20"/>
    </row>
    <row r="6" spans="1:12" ht="15" customHeight="1" x14ac:dyDescent="0.25">
      <c r="A6" s="23"/>
      <c r="B6" s="151" t="s">
        <v>83</v>
      </c>
      <c r="C6" s="152"/>
      <c r="D6" s="152"/>
      <c r="E6" s="152"/>
      <c r="F6" s="152"/>
      <c r="G6" s="152"/>
      <c r="H6" s="152"/>
      <c r="I6" s="152"/>
      <c r="J6" s="152"/>
      <c r="K6" s="153"/>
      <c r="L6" s="20"/>
    </row>
    <row r="7" spans="1:12" x14ac:dyDescent="0.25">
      <c r="A7" s="23"/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</row>
    <row r="8" spans="1:12" x14ac:dyDescent="0.25">
      <c r="A8" s="23"/>
      <c r="B8" s="177" t="s">
        <v>42</v>
      </c>
      <c r="C8" s="177"/>
      <c r="D8" s="177"/>
      <c r="E8" s="177"/>
      <c r="F8" s="177"/>
      <c r="G8" s="177"/>
      <c r="H8" s="177"/>
      <c r="I8" s="177"/>
      <c r="J8" s="177"/>
      <c r="K8" s="177"/>
      <c r="L8" s="20"/>
    </row>
    <row r="9" spans="1:12" ht="27.75" customHeight="1" x14ac:dyDescent="0.25">
      <c r="A9" s="23"/>
      <c r="B9" s="178" t="str">
        <f>ORÇAMENTO!E5</f>
        <v>PAVIMENTAÇÃO ASFÁLTICA EM CBUQ NA AVENIDA BENEDITO PEREIRA LIMA E PARQUE DE VAQUEJADA PORTAL DA LAGOA, ZONA URBANA DO MUNICÍPIO DE SÃO JOÃO DA LAGOA/MG</v>
      </c>
      <c r="C9" s="178"/>
      <c r="D9" s="178"/>
      <c r="E9" s="178"/>
      <c r="F9" s="178"/>
      <c r="G9" s="178"/>
      <c r="H9" s="178"/>
      <c r="I9" s="178"/>
      <c r="J9" s="178"/>
      <c r="K9" s="178"/>
      <c r="L9" s="20"/>
    </row>
    <row r="10" spans="1:12" x14ac:dyDescent="0.25">
      <c r="A10" s="23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0"/>
    </row>
    <row r="11" spans="1:12" x14ac:dyDescent="0.25">
      <c r="A11" s="23"/>
      <c r="B11" s="179" t="s">
        <v>3</v>
      </c>
      <c r="C11" s="179"/>
      <c r="D11" s="179"/>
      <c r="E11" s="179"/>
      <c r="F11" s="179"/>
      <c r="G11" s="179"/>
      <c r="H11" s="179"/>
      <c r="I11" s="179"/>
      <c r="J11" s="169">
        <v>1</v>
      </c>
      <c r="K11" s="169"/>
      <c r="L11" s="20"/>
    </row>
    <row r="12" spans="1:12" x14ac:dyDescent="0.25">
      <c r="A12" s="23"/>
      <c r="B12" s="168" t="s">
        <v>4</v>
      </c>
      <c r="C12" s="168"/>
      <c r="D12" s="168"/>
      <c r="E12" s="168"/>
      <c r="F12" s="168"/>
      <c r="G12" s="168"/>
      <c r="H12" s="168"/>
      <c r="I12" s="168"/>
      <c r="J12" s="169">
        <v>0.05</v>
      </c>
      <c r="K12" s="169"/>
      <c r="L12" s="20"/>
    </row>
    <row r="13" spans="1:12" x14ac:dyDescent="0.25">
      <c r="A13" s="2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20"/>
    </row>
    <row r="14" spans="1:12" ht="15.75" x14ac:dyDescent="0.25">
      <c r="A14" s="23"/>
      <c r="B14" s="170" t="s">
        <v>5</v>
      </c>
      <c r="C14" s="170"/>
      <c r="D14" s="170"/>
      <c r="E14" s="170"/>
      <c r="F14" s="170"/>
      <c r="G14" s="170"/>
      <c r="H14" s="170"/>
      <c r="I14" s="170"/>
      <c r="J14" s="170"/>
      <c r="K14" s="170"/>
      <c r="L14" s="20"/>
    </row>
    <row r="15" spans="1:12" x14ac:dyDescent="0.25">
      <c r="A15" s="2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0"/>
    </row>
    <row r="16" spans="1:12" x14ac:dyDescent="0.25">
      <c r="A16" s="23"/>
      <c r="B16" s="171" t="s">
        <v>6</v>
      </c>
      <c r="C16" s="171"/>
      <c r="D16" s="171"/>
      <c r="E16" s="171"/>
      <c r="F16" s="171"/>
      <c r="G16" s="171"/>
      <c r="H16" s="171"/>
      <c r="I16" s="171"/>
      <c r="J16" s="171"/>
      <c r="K16" s="171"/>
      <c r="L16" s="20"/>
    </row>
    <row r="17" spans="1:12" x14ac:dyDescent="0.25">
      <c r="A17" s="23"/>
      <c r="B17" s="172" t="s">
        <v>106</v>
      </c>
      <c r="C17" s="172"/>
      <c r="D17" s="172"/>
      <c r="E17" s="172"/>
      <c r="F17" s="172"/>
      <c r="G17" s="172"/>
      <c r="H17" s="172"/>
      <c r="I17" s="172"/>
      <c r="J17" s="172"/>
      <c r="K17" s="172"/>
      <c r="L17" s="20"/>
    </row>
    <row r="18" spans="1:12" x14ac:dyDescent="0.25">
      <c r="A18" s="23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20"/>
    </row>
    <row r="19" spans="1:12" x14ac:dyDescent="0.25">
      <c r="A19" s="23"/>
      <c r="B19" s="173" t="s">
        <v>7</v>
      </c>
      <c r="C19" s="173"/>
      <c r="D19" s="173"/>
      <c r="E19" s="173"/>
      <c r="F19" s="173"/>
      <c r="G19" s="173"/>
      <c r="H19" s="173"/>
      <c r="I19" s="173"/>
      <c r="J19" s="173" t="s">
        <v>8</v>
      </c>
      <c r="K19" s="174" t="s">
        <v>9</v>
      </c>
      <c r="L19" s="20"/>
    </row>
    <row r="20" spans="1:12" x14ac:dyDescent="0.25">
      <c r="A20" s="23"/>
      <c r="B20" s="173"/>
      <c r="C20" s="173"/>
      <c r="D20" s="173"/>
      <c r="E20" s="173"/>
      <c r="F20" s="173"/>
      <c r="G20" s="173"/>
      <c r="H20" s="173"/>
      <c r="I20" s="173"/>
      <c r="J20" s="173"/>
      <c r="K20" s="174"/>
      <c r="L20" s="20"/>
    </row>
    <row r="21" spans="1:12" ht="15" customHeight="1" x14ac:dyDescent="0.25">
      <c r="A21" s="23"/>
      <c r="B21" s="165" t="s">
        <v>31</v>
      </c>
      <c r="C21" s="165"/>
      <c r="D21" s="165"/>
      <c r="E21" s="165"/>
      <c r="F21" s="165"/>
      <c r="G21" s="165"/>
      <c r="H21" s="165"/>
      <c r="I21" s="165"/>
      <c r="J21" s="1" t="s">
        <v>32</v>
      </c>
      <c r="K21" s="2">
        <v>3.7999999999999999E-2</v>
      </c>
      <c r="L21" s="20"/>
    </row>
    <row r="22" spans="1:12" ht="15" customHeight="1" x14ac:dyDescent="0.25">
      <c r="A22" s="23"/>
      <c r="B22" s="165" t="s">
        <v>33</v>
      </c>
      <c r="C22" s="165"/>
      <c r="D22" s="165"/>
      <c r="E22" s="165"/>
      <c r="F22" s="165"/>
      <c r="G22" s="165"/>
      <c r="H22" s="165"/>
      <c r="I22" s="165"/>
      <c r="J22" s="1" t="s">
        <v>34</v>
      </c>
      <c r="K22" s="2">
        <v>3.2000000000000002E-3</v>
      </c>
      <c r="L22" s="20"/>
    </row>
    <row r="23" spans="1:12" x14ac:dyDescent="0.25">
      <c r="A23" s="23"/>
      <c r="B23" s="165" t="s">
        <v>35</v>
      </c>
      <c r="C23" s="165"/>
      <c r="D23" s="165"/>
      <c r="E23" s="165"/>
      <c r="F23" s="165"/>
      <c r="G23" s="165"/>
      <c r="H23" s="165"/>
      <c r="I23" s="165"/>
      <c r="J23" s="1" t="s">
        <v>36</v>
      </c>
      <c r="K23" s="2">
        <v>5.0000000000000001E-3</v>
      </c>
      <c r="L23" s="20"/>
    </row>
    <row r="24" spans="1:12" x14ac:dyDescent="0.25">
      <c r="A24" s="23"/>
      <c r="B24" s="165" t="s">
        <v>37</v>
      </c>
      <c r="C24" s="165"/>
      <c r="D24" s="165"/>
      <c r="E24" s="165"/>
      <c r="F24" s="165"/>
      <c r="G24" s="165"/>
      <c r="H24" s="165"/>
      <c r="I24" s="165"/>
      <c r="J24" s="1" t="s">
        <v>38</v>
      </c>
      <c r="K24" s="2">
        <v>1.0200000000000001E-2</v>
      </c>
      <c r="L24" s="20"/>
    </row>
    <row r="25" spans="1:12" ht="15" customHeight="1" x14ac:dyDescent="0.25">
      <c r="A25" s="23"/>
      <c r="B25" s="165" t="s">
        <v>39</v>
      </c>
      <c r="C25" s="165"/>
      <c r="D25" s="165"/>
      <c r="E25" s="165"/>
      <c r="F25" s="165"/>
      <c r="G25" s="165"/>
      <c r="H25" s="165"/>
      <c r="I25" s="165"/>
      <c r="J25" s="1" t="s">
        <v>40</v>
      </c>
      <c r="K25" s="2">
        <v>6.6400000000000001E-2</v>
      </c>
      <c r="L25" s="20"/>
    </row>
    <row r="26" spans="1:12" ht="15" customHeight="1" x14ac:dyDescent="0.25">
      <c r="A26" s="23"/>
      <c r="B26" s="165" t="s">
        <v>10</v>
      </c>
      <c r="C26" s="165"/>
      <c r="D26" s="165"/>
      <c r="E26" s="165"/>
      <c r="F26" s="165"/>
      <c r="G26" s="165"/>
      <c r="H26" s="165"/>
      <c r="I26" s="165"/>
      <c r="J26" s="1" t="s">
        <v>11</v>
      </c>
      <c r="K26" s="2">
        <v>3.6499999999999998E-2</v>
      </c>
      <c r="L26" s="20"/>
    </row>
    <row r="27" spans="1:12" ht="15" customHeight="1" x14ac:dyDescent="0.25">
      <c r="A27" s="23"/>
      <c r="B27" s="165" t="s">
        <v>12</v>
      </c>
      <c r="C27" s="165"/>
      <c r="D27" s="165"/>
      <c r="E27" s="165"/>
      <c r="F27" s="165"/>
      <c r="G27" s="165"/>
      <c r="H27" s="165"/>
      <c r="I27" s="165"/>
      <c r="J27" s="1" t="s">
        <v>13</v>
      </c>
      <c r="K27" s="3">
        <v>0.05</v>
      </c>
      <c r="L27" s="20"/>
    </row>
    <row r="28" spans="1:12" ht="15" customHeight="1" x14ac:dyDescent="0.25">
      <c r="A28" s="23"/>
      <c r="B28" s="165" t="s">
        <v>14</v>
      </c>
      <c r="C28" s="165"/>
      <c r="D28" s="165"/>
      <c r="E28" s="165"/>
      <c r="F28" s="165"/>
      <c r="G28" s="165"/>
      <c r="H28" s="165"/>
      <c r="I28" s="165"/>
      <c r="J28" s="1" t="s">
        <v>15</v>
      </c>
      <c r="K28" s="3">
        <v>3.6000000000000004E-2</v>
      </c>
      <c r="L28" s="20"/>
    </row>
    <row r="29" spans="1:12" ht="15" customHeight="1" x14ac:dyDescent="0.25">
      <c r="A29" s="23"/>
      <c r="B29" s="165" t="s">
        <v>16</v>
      </c>
      <c r="C29" s="165"/>
      <c r="D29" s="165"/>
      <c r="E29" s="165"/>
      <c r="F29" s="165"/>
      <c r="G29" s="165"/>
      <c r="H29" s="165"/>
      <c r="I29" s="165"/>
      <c r="J29" s="4" t="s">
        <v>17</v>
      </c>
      <c r="K29" s="3">
        <v>0.2422</v>
      </c>
      <c r="L29" s="20"/>
    </row>
    <row r="30" spans="1:12" ht="15" customHeight="1" x14ac:dyDescent="0.25">
      <c r="A30" s="23"/>
      <c r="B30" s="166" t="s">
        <v>18</v>
      </c>
      <c r="C30" s="166"/>
      <c r="D30" s="166"/>
      <c r="E30" s="166"/>
      <c r="F30" s="166"/>
      <c r="G30" s="166"/>
      <c r="H30" s="166"/>
      <c r="I30" s="166"/>
      <c r="J30" s="5" t="s">
        <v>19</v>
      </c>
      <c r="K30" s="6">
        <v>0.28439999999999999</v>
      </c>
      <c r="L30" s="20"/>
    </row>
    <row r="31" spans="1:12" x14ac:dyDescent="0.25">
      <c r="A31" s="23"/>
      <c r="B31" s="167" t="s">
        <v>20</v>
      </c>
      <c r="C31" s="167"/>
      <c r="D31" s="167"/>
      <c r="E31" s="167"/>
      <c r="F31" s="167"/>
      <c r="G31" s="167"/>
      <c r="H31" s="167"/>
      <c r="I31" s="167"/>
      <c r="J31" s="167"/>
      <c r="K31" s="167"/>
      <c r="L31" s="20"/>
    </row>
    <row r="32" spans="1:12" ht="15.75" x14ac:dyDescent="0.25">
      <c r="A32" s="23"/>
      <c r="B32" s="8"/>
      <c r="C32" s="8"/>
      <c r="D32" s="8"/>
      <c r="E32" s="160" t="s">
        <v>21</v>
      </c>
      <c r="F32" s="161" t="s">
        <v>41</v>
      </c>
      <c r="G32" s="161"/>
      <c r="H32" s="161"/>
      <c r="I32" s="162" t="s">
        <v>22</v>
      </c>
      <c r="J32" s="8"/>
      <c r="K32" s="8"/>
      <c r="L32" s="20"/>
    </row>
    <row r="33" spans="1:12" ht="15.75" x14ac:dyDescent="0.25">
      <c r="A33" s="23"/>
      <c r="B33" s="8"/>
      <c r="C33" s="8"/>
      <c r="D33" s="8"/>
      <c r="E33" s="160"/>
      <c r="F33" s="163" t="s">
        <v>23</v>
      </c>
      <c r="G33" s="163"/>
      <c r="H33" s="163"/>
      <c r="I33" s="162"/>
      <c r="J33" s="8"/>
      <c r="K33" s="8"/>
      <c r="L33" s="20"/>
    </row>
    <row r="34" spans="1:12" x14ac:dyDescent="0.25">
      <c r="A34" s="23"/>
      <c r="B34" s="9"/>
      <c r="C34" s="9"/>
      <c r="D34" s="9"/>
      <c r="E34" s="9"/>
      <c r="F34" s="9"/>
      <c r="G34" s="9"/>
      <c r="H34" s="9"/>
      <c r="I34" s="9"/>
      <c r="J34" s="9"/>
      <c r="K34" s="9"/>
      <c r="L34" s="20"/>
    </row>
    <row r="35" spans="1:12" ht="30.75" customHeight="1" x14ac:dyDescent="0.25">
      <c r="A35" s="23"/>
      <c r="B35" s="164" t="s">
        <v>43</v>
      </c>
      <c r="C35" s="164"/>
      <c r="D35" s="164"/>
      <c r="E35" s="164"/>
      <c r="F35" s="164"/>
      <c r="G35" s="164"/>
      <c r="H35" s="164"/>
      <c r="I35" s="164"/>
      <c r="J35" s="164"/>
      <c r="K35" s="164"/>
      <c r="L35" s="20"/>
    </row>
    <row r="36" spans="1:12" x14ac:dyDescent="0.25">
      <c r="A36" s="23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20"/>
    </row>
    <row r="37" spans="1:12" ht="32.25" customHeight="1" x14ac:dyDescent="0.25">
      <c r="A37" s="23"/>
      <c r="B37" s="164" t="s">
        <v>79</v>
      </c>
      <c r="C37" s="164"/>
      <c r="D37" s="164"/>
      <c r="E37" s="164"/>
      <c r="F37" s="164"/>
      <c r="G37" s="164"/>
      <c r="H37" s="164"/>
      <c r="I37" s="164"/>
      <c r="J37" s="164"/>
      <c r="K37" s="164"/>
      <c r="L37" s="20"/>
    </row>
    <row r="38" spans="1:12" x14ac:dyDescent="0.25">
      <c r="A38" s="23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20"/>
    </row>
    <row r="39" spans="1:12" x14ac:dyDescent="0.25">
      <c r="A39" s="23"/>
      <c r="B39" s="10" t="s">
        <v>24</v>
      </c>
      <c r="C39" s="10"/>
      <c r="D39" s="10"/>
      <c r="E39" s="10"/>
      <c r="F39" s="10"/>
      <c r="G39" s="10"/>
      <c r="H39" s="10"/>
      <c r="I39" s="10"/>
      <c r="J39" s="10"/>
      <c r="K39" s="10"/>
      <c r="L39" s="20"/>
    </row>
    <row r="40" spans="1:12" x14ac:dyDescent="0.25">
      <c r="A40" s="23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20"/>
    </row>
    <row r="41" spans="1:12" x14ac:dyDescent="0.25">
      <c r="A41" s="23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20"/>
    </row>
    <row r="42" spans="1:12" x14ac:dyDescent="0.25">
      <c r="A42" s="23"/>
      <c r="B42" s="155" t="s">
        <v>59</v>
      </c>
      <c r="C42" s="155"/>
      <c r="D42" s="155"/>
      <c r="E42" s="155"/>
      <c r="F42" s="10"/>
      <c r="G42" s="10"/>
      <c r="H42" s="156" t="s">
        <v>166</v>
      </c>
      <c r="I42" s="156"/>
      <c r="J42" s="156"/>
      <c r="K42" s="156"/>
      <c r="L42" s="20"/>
    </row>
    <row r="43" spans="1:12" x14ac:dyDescent="0.25">
      <c r="A43" s="23"/>
      <c r="B43" s="157" t="s">
        <v>25</v>
      </c>
      <c r="C43" s="157"/>
      <c r="D43" s="157"/>
      <c r="E43" s="157"/>
      <c r="F43" s="10"/>
      <c r="G43" s="11"/>
      <c r="H43" s="12" t="s">
        <v>26</v>
      </c>
      <c r="I43" s="13"/>
      <c r="J43" s="13"/>
      <c r="K43" s="13"/>
      <c r="L43" s="20"/>
    </row>
    <row r="44" spans="1:12" x14ac:dyDescent="0.25">
      <c r="A44" s="23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20"/>
    </row>
    <row r="45" spans="1:12" x14ac:dyDescent="0.25">
      <c r="A45" s="23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20"/>
    </row>
    <row r="46" spans="1:12" ht="21" customHeight="1" x14ac:dyDescent="0.25">
      <c r="A46" s="23"/>
      <c r="B46" s="158"/>
      <c r="C46" s="158"/>
      <c r="D46" s="158"/>
      <c r="E46" s="158"/>
      <c r="F46" s="14"/>
      <c r="G46" s="10"/>
      <c r="H46" s="10"/>
      <c r="I46" s="10"/>
      <c r="J46" s="10"/>
      <c r="K46" s="10"/>
      <c r="L46" s="20"/>
    </row>
    <row r="47" spans="1:12" x14ac:dyDescent="0.25">
      <c r="A47" s="23"/>
      <c r="B47" s="159" t="s">
        <v>27</v>
      </c>
      <c r="C47" s="159"/>
      <c r="D47" s="159"/>
      <c r="E47" s="159"/>
      <c r="F47" s="10"/>
      <c r="G47" s="10"/>
      <c r="H47" s="10"/>
      <c r="I47" s="10"/>
      <c r="J47" s="10"/>
      <c r="K47" s="10"/>
      <c r="L47" s="20"/>
    </row>
    <row r="48" spans="1:12" x14ac:dyDescent="0.25">
      <c r="A48" s="23"/>
      <c r="B48" s="128" t="s">
        <v>28</v>
      </c>
      <c r="C48" s="146" t="s">
        <v>104</v>
      </c>
      <c r="D48" s="146"/>
      <c r="E48" s="146"/>
      <c r="F48" s="14"/>
      <c r="G48" s="10"/>
      <c r="H48" s="10"/>
      <c r="I48" s="10"/>
      <c r="J48" s="10"/>
      <c r="K48" s="10"/>
      <c r="L48" s="20"/>
    </row>
    <row r="49" spans="1:12" x14ac:dyDescent="0.25">
      <c r="A49" s="23"/>
      <c r="B49" s="128" t="s">
        <v>29</v>
      </c>
      <c r="C49" s="147" t="s">
        <v>105</v>
      </c>
      <c r="D49" s="147"/>
      <c r="E49" s="147"/>
      <c r="F49" s="14"/>
      <c r="G49" s="10"/>
      <c r="H49" s="10"/>
      <c r="I49" s="10"/>
      <c r="J49" s="10"/>
      <c r="K49" s="10"/>
      <c r="L49" s="20"/>
    </row>
    <row r="50" spans="1:12" x14ac:dyDescent="0.25">
      <c r="A50" s="23"/>
      <c r="B50" s="128" t="s">
        <v>30</v>
      </c>
      <c r="C50" s="147" t="s">
        <v>178</v>
      </c>
      <c r="D50" s="147"/>
      <c r="E50" s="147"/>
      <c r="F50" s="14"/>
      <c r="G50" s="10"/>
      <c r="H50" s="10"/>
      <c r="I50" s="10"/>
      <c r="J50" s="10"/>
      <c r="K50" s="10"/>
      <c r="L50" s="20"/>
    </row>
    <row r="51" spans="1:12" x14ac:dyDescent="0.25">
      <c r="A51" s="24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2"/>
    </row>
  </sheetData>
  <mergeCells count="42">
    <mergeCell ref="J2:K2"/>
    <mergeCell ref="J3:K3"/>
    <mergeCell ref="B8:K8"/>
    <mergeCell ref="B9:K9"/>
    <mergeCell ref="B11:I11"/>
    <mergeCell ref="J11:K11"/>
    <mergeCell ref="B12:I12"/>
    <mergeCell ref="J12:K12"/>
    <mergeCell ref="B26:I26"/>
    <mergeCell ref="B14:K14"/>
    <mergeCell ref="B16:K16"/>
    <mergeCell ref="B17:K17"/>
    <mergeCell ref="B19:I20"/>
    <mergeCell ref="J19:J20"/>
    <mergeCell ref="K19:K20"/>
    <mergeCell ref="B21:I21"/>
    <mergeCell ref="B22:I22"/>
    <mergeCell ref="B23:I23"/>
    <mergeCell ref="B24:I24"/>
    <mergeCell ref="B25:I25"/>
    <mergeCell ref="B37:K37"/>
    <mergeCell ref="B27:I27"/>
    <mergeCell ref="B28:I28"/>
    <mergeCell ref="B29:I29"/>
    <mergeCell ref="B30:I30"/>
    <mergeCell ref="B31:K31"/>
    <mergeCell ref="C48:E48"/>
    <mergeCell ref="C49:E49"/>
    <mergeCell ref="C50:E50"/>
    <mergeCell ref="B5:K5"/>
    <mergeCell ref="B6:K6"/>
    <mergeCell ref="B40:K40"/>
    <mergeCell ref="B42:E42"/>
    <mergeCell ref="H42:K42"/>
    <mergeCell ref="B43:E43"/>
    <mergeCell ref="B46:E46"/>
    <mergeCell ref="B47:E47"/>
    <mergeCell ref="E32:E33"/>
    <mergeCell ref="F32:H32"/>
    <mergeCell ref="I32:I33"/>
    <mergeCell ref="F33:H33"/>
    <mergeCell ref="B35:K35"/>
  </mergeCells>
  <conditionalFormatting sqref="B30:K30">
    <cfRule type="expression" dxfId="48" priority="3" stopIfTrue="1">
      <formula>DESONERACAO="não"</formula>
    </cfRule>
  </conditionalFormatting>
  <conditionalFormatting sqref="K29">
    <cfRule type="expression" dxfId="47" priority="1" stopIfTrue="1">
      <formula>DESONERACAO="não"</formula>
    </cfRule>
  </conditionalFormatting>
  <dataValidations count="6">
    <dataValidation type="list" allowBlank="1" showErrorMessage="1" sqref="B17:K17" xr:uid="{AB123BEF-C8E2-47E7-8499-E1CC33181B41}">
      <formula1>BDI.TipoObra</formula1>
      <formula2>0</formula2>
    </dataValidation>
    <dataValidation type="decimal" allowBlank="1" showInputMessage="1" showErrorMessage="1" errorTitle="Valor não permitido" error="Digite um percentual entre 0% e 100%." promptTitle="Valores admissíveis:" prompt="Insira valores entre 0 e 100%." sqref="J11:K11" xr:uid="{1971DE07-6DAA-41FB-93C4-031D31A52B60}">
      <formula1>0</formula1>
      <formula2>1</formula2>
    </dataValidation>
    <dataValidation type="decimal" operator="greaterThanOrEqual" allowBlank="1" showInputMessage="1" showErrorMessage="1" errorTitle="Valor não permitido" error="Digite um percentual entre 0% e 100%." promptTitle="Valores comuns:" prompt="Normalmente entre 2 e 5%." sqref="J12:K12" xr:uid="{770DE75F-DA5C-4C7D-8085-3F05D32ACB86}">
      <formula1>0</formula1>
      <formula2>0</formula2>
    </dataValidation>
    <dataValidation operator="greaterThanOrEqual" allowBlank="1" showErrorMessage="1" errorTitle="Erro de valores" error="Digite um valor igual a 0% ou 2%." sqref="K28" xr:uid="{417D65F4-73BC-40D6-9CBB-579F2B2883CE}">
      <formula1>0</formula1>
      <formula2>0</formula2>
    </dataValidation>
    <dataValidation type="decimal" allowBlank="1" showErrorMessage="1" errorTitle="Erro de valores" error="Digite um valor maior do que 0." sqref="K27" xr:uid="{78C8F371-C550-4CC2-B666-EB3A88D8DB50}">
      <formula1>0</formula1>
      <formula2>1</formula2>
    </dataValidation>
    <dataValidation type="decimal" allowBlank="1" showErrorMessage="1" errorTitle="Erro de valores" error="Digite um valor entre 0% e 100%" sqref="K21:K26" xr:uid="{0CCD7E94-5E88-40A8-8E11-418F70142F09}">
      <formula1>0</formula1>
      <formula2>1</formula2>
    </dataValidation>
  </dataValidations>
  <pageMargins left="0.51181102362204722" right="0.51181102362204722" top="0.78740157480314965" bottom="0.78740157480314965" header="0.31496062992125984" footer="0.31496062992125984"/>
  <pageSetup paperSize="9" scale="8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C99E-EF6E-4914-B784-257BDBE626D4}">
  <dimension ref="A1:P43"/>
  <sheetViews>
    <sheetView tabSelected="1" topLeftCell="A6" workbookViewId="0">
      <selection activeCell="J11" sqref="J11"/>
    </sheetView>
  </sheetViews>
  <sheetFormatPr defaultRowHeight="15" x14ac:dyDescent="0.25"/>
  <cols>
    <col min="1" max="1" width="0.85546875" customWidth="1"/>
    <col min="2" max="2" width="12.7109375" customWidth="1"/>
    <col min="3" max="3" width="15.7109375" customWidth="1"/>
    <col min="4" max="4" width="19" customWidth="1"/>
    <col min="5" max="5" width="65.7109375" customWidth="1"/>
    <col min="6" max="6" width="10.7109375" customWidth="1"/>
    <col min="7" max="9" width="14.7109375" customWidth="1"/>
    <col min="10" max="10" width="18" customWidth="1"/>
    <col min="11" max="11" width="1.28515625" customWidth="1"/>
    <col min="13" max="15" width="11.5703125" bestFit="1" customWidth="1"/>
  </cols>
  <sheetData>
    <row r="1" spans="1:13" ht="4.5" customHeight="1" x14ac:dyDescent="0.25">
      <c r="A1" s="25"/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3" ht="15.75" x14ac:dyDescent="0.25">
      <c r="A2" s="23"/>
      <c r="B2" s="188" t="s">
        <v>44</v>
      </c>
      <c r="C2" s="188"/>
      <c r="D2" s="188"/>
      <c r="E2" s="188"/>
      <c r="F2" s="188"/>
      <c r="G2" s="188"/>
      <c r="H2" s="188"/>
      <c r="I2" s="188"/>
      <c r="J2" s="188"/>
      <c r="K2" s="20"/>
    </row>
    <row r="3" spans="1:13" x14ac:dyDescent="0.25">
      <c r="A3" s="23"/>
      <c r="B3" s="114"/>
      <c r="C3" s="114"/>
      <c r="D3" s="114"/>
      <c r="E3" s="114"/>
      <c r="F3" s="114"/>
      <c r="G3" s="114"/>
      <c r="H3" s="114"/>
      <c r="I3" s="114"/>
      <c r="J3" s="118"/>
      <c r="K3" s="20"/>
    </row>
    <row r="4" spans="1:13" x14ac:dyDescent="0.25">
      <c r="A4" s="23"/>
      <c r="B4" s="148" t="s">
        <v>2</v>
      </c>
      <c r="C4" s="149"/>
      <c r="D4" s="189"/>
      <c r="E4" s="149" t="s">
        <v>42</v>
      </c>
      <c r="F4" s="149"/>
      <c r="G4" s="149"/>
      <c r="H4" s="149"/>
      <c r="I4" s="149"/>
      <c r="J4" s="150"/>
      <c r="K4" s="20"/>
    </row>
    <row r="5" spans="1:13" ht="31.5" customHeight="1" x14ac:dyDescent="0.25">
      <c r="A5" s="23"/>
      <c r="B5" s="151" t="str">
        <f>BDI!B6</f>
        <v>PREFEITURA MUNICIPAL DE SÃO JOÃO DA LAGOA</v>
      </c>
      <c r="C5" s="152"/>
      <c r="D5" s="152"/>
      <c r="E5" s="190" t="s">
        <v>179</v>
      </c>
      <c r="F5" s="191"/>
      <c r="G5" s="191"/>
      <c r="H5" s="191"/>
      <c r="I5" s="191"/>
      <c r="J5" s="192"/>
      <c r="K5" s="20"/>
    </row>
    <row r="6" spans="1:13" x14ac:dyDescent="0.25">
      <c r="A6" s="23"/>
      <c r="B6" s="66"/>
      <c r="C6" s="66"/>
      <c r="D6" s="67"/>
      <c r="E6" s="67"/>
      <c r="F6" s="66"/>
      <c r="G6" s="66"/>
      <c r="H6" s="66"/>
      <c r="I6" s="66"/>
      <c r="J6" s="66"/>
      <c r="K6" s="20"/>
    </row>
    <row r="7" spans="1:13" ht="18" customHeight="1" x14ac:dyDescent="0.25">
      <c r="A7" s="23"/>
      <c r="B7" s="183" t="s">
        <v>85</v>
      </c>
      <c r="C7" s="185"/>
      <c r="D7" s="68" t="s">
        <v>45</v>
      </c>
      <c r="E7" s="183" t="s">
        <v>42</v>
      </c>
      <c r="F7" s="184"/>
      <c r="G7" s="185"/>
      <c r="H7" s="183" t="s">
        <v>60</v>
      </c>
      <c r="I7" s="185"/>
      <c r="J7" s="69" t="s">
        <v>86</v>
      </c>
      <c r="K7" s="20"/>
    </row>
    <row r="8" spans="1:13" ht="44.25" customHeight="1" x14ac:dyDescent="0.25">
      <c r="A8" s="23"/>
      <c r="B8" s="186" t="s">
        <v>119</v>
      </c>
      <c r="C8" s="187"/>
      <c r="D8" s="132" t="s">
        <v>120</v>
      </c>
      <c r="E8" s="180" t="str">
        <f>E5</f>
        <v>PAVIMENTAÇÃO ASFÁLTICA EM CBUQ NA AVENIDA BENEDITO PEREIRA LIMA E PARQUE DE VAQUEJADA PORTAL DA LAGOA, ZONA URBANA DO MUNICÍPIO DE SÃO JOÃO DA LAGOA/MG</v>
      </c>
      <c r="F8" s="181"/>
      <c r="G8" s="182"/>
      <c r="H8" s="186" t="s">
        <v>59</v>
      </c>
      <c r="I8" s="187"/>
      <c r="J8" s="124">
        <f>BDI!K30</f>
        <v>0.28439999999999999</v>
      </c>
      <c r="K8" s="20"/>
    </row>
    <row r="9" spans="1:13" x14ac:dyDescent="0.25">
      <c r="A9" s="23"/>
      <c r="B9" s="198"/>
      <c r="C9" s="199"/>
      <c r="D9" s="199"/>
      <c r="E9" s="199"/>
      <c r="F9" s="199"/>
      <c r="G9" s="199"/>
      <c r="H9" s="199"/>
      <c r="I9" s="199"/>
      <c r="J9" s="200"/>
      <c r="K9" s="20"/>
    </row>
    <row r="10" spans="1:13" ht="25.5" x14ac:dyDescent="0.25">
      <c r="A10" s="23"/>
      <c r="B10" s="31" t="s">
        <v>47</v>
      </c>
      <c r="C10" s="31" t="s">
        <v>48</v>
      </c>
      <c r="D10" s="31" t="s">
        <v>49</v>
      </c>
      <c r="E10" s="31" t="s">
        <v>50</v>
      </c>
      <c r="F10" s="32" t="s">
        <v>51</v>
      </c>
      <c r="G10" s="31" t="s">
        <v>52</v>
      </c>
      <c r="H10" s="31" t="str">
        <f>IF(TIPOORCAMENTO="Licitado","","Custo Unitário (sem BDI) (R$)")</f>
        <v>Custo Unitário (sem BDI) (R$)</v>
      </c>
      <c r="I10" s="31" t="s">
        <v>53</v>
      </c>
      <c r="J10" s="31" t="s">
        <v>54</v>
      </c>
      <c r="K10" s="20"/>
    </row>
    <row r="11" spans="1:13" ht="26.25" customHeight="1" x14ac:dyDescent="0.25">
      <c r="A11" s="23"/>
      <c r="B11" s="201" t="str">
        <f>E5</f>
        <v>PAVIMENTAÇÃO ASFÁLTICA EM CBUQ NA AVENIDA BENEDITO PEREIRA LIMA E PARQUE DE VAQUEJADA PORTAL DA LAGOA, ZONA URBANA DO MUNICÍPIO DE SÃO JOÃO DA LAGOA/MG</v>
      </c>
      <c r="C11" s="201"/>
      <c r="D11" s="201"/>
      <c r="E11" s="201"/>
      <c r="F11" s="33"/>
      <c r="G11" s="34"/>
      <c r="H11" s="34"/>
      <c r="I11" s="34"/>
      <c r="J11" s="35">
        <f>J12</f>
        <v>520318.25</v>
      </c>
      <c r="K11" s="20"/>
      <c r="M11" s="125"/>
    </row>
    <row r="12" spans="1:13" ht="30" x14ac:dyDescent="0.25">
      <c r="A12" s="23"/>
      <c r="B12" s="36" t="str">
        <f ca="1">IF(OR($B12=0,$J12=""),"-",CONCATENATE(#REF!&amp;".",IF(AND(#REF!&gt;=2,$B12&gt;=2),#REF!&amp;".",""),IF(AND(#REF!&gt;=3,$B12&gt;=3),#REF!&amp;".",""),IF(AND(#REF!&gt;=4,$B12&gt;=4),#REF!&amp;".",""),IF($B12="S",#REF!&amp;".","")))</f>
        <v>1.</v>
      </c>
      <c r="C12" s="37"/>
      <c r="D12" s="38"/>
      <c r="E12" s="39" t="s">
        <v>176</v>
      </c>
      <c r="F12" s="40"/>
      <c r="G12" s="41"/>
      <c r="H12" s="42"/>
      <c r="I12" s="41">
        <f ca="1">IF($B12="S",ROUND(IF(TIPOORCAMENTO="Proposto",ORÇAMENTO.CustoUnitario*(1+$AF12),ORÇAMENTO.PrecoUnitarioLicitado),15-13*#REF!),0)</f>
        <v>0</v>
      </c>
      <c r="J12" s="43">
        <f>J13+J15+J18+J23+J26</f>
        <v>520318.25</v>
      </c>
      <c r="K12" s="20"/>
    </row>
    <row r="13" spans="1:13" ht="21.75" customHeight="1" x14ac:dyDescent="0.25">
      <c r="A13" s="23"/>
      <c r="B13" s="44" t="str">
        <f ca="1">IF(OR($B13=0,$J13=""),"-",CONCATENATE(#REF!&amp;".",IF(AND(#REF!&gt;=2,$B13&gt;=2),#REF!&amp;".",""),IF(AND(#REF!&gt;=3,$B13&gt;=3),#REF!&amp;".",""),IF(AND(#REF!&gt;=4,$B13&gt;=4),#REF!&amp;".",""),IF($B13="S",#REF!&amp;".","")))</f>
        <v>1.1.</v>
      </c>
      <c r="C13" s="45"/>
      <c r="D13" s="46"/>
      <c r="E13" s="89" t="s">
        <v>87</v>
      </c>
      <c r="F13" s="48"/>
      <c r="G13" s="49"/>
      <c r="H13" s="50"/>
      <c r="I13" s="49"/>
      <c r="J13" s="51">
        <f>J14</f>
        <v>1481.25</v>
      </c>
      <c r="K13" s="20"/>
    </row>
    <row r="14" spans="1:13" ht="75" x14ac:dyDescent="0.25">
      <c r="A14" s="23"/>
      <c r="B14" s="52" t="str">
        <f ca="1">IF(OR($B14=0,$J14=""),"-",CONCATENATE(#REF!&amp;".",IF(AND(#REF!&gt;=2,$B14&gt;=2),#REF!&amp;".",""),IF(AND(#REF!&gt;=3,$B14&gt;=3),#REF!&amp;".",""),IF(AND(#REF!&gt;=4,$B14&gt;=4),#REF!&amp;".",""),IF($B14="S",#REF!&amp;".","")))</f>
        <v>1.1.1.</v>
      </c>
      <c r="C14" s="53" t="s">
        <v>132</v>
      </c>
      <c r="D14" s="54" t="s">
        <v>58</v>
      </c>
      <c r="E14" s="115" t="s">
        <v>65</v>
      </c>
      <c r="F14" s="55" t="s">
        <v>77</v>
      </c>
      <c r="G14" s="56">
        <f>'MEMÓRIA DE CÁLCULO'!F13</f>
        <v>1</v>
      </c>
      <c r="H14" s="57">
        <v>1153.26</v>
      </c>
      <c r="I14" s="56">
        <f>ROUND(H14*(1+$J$8),2)</f>
        <v>1481.25</v>
      </c>
      <c r="J14" s="58">
        <f>ROUND(G14*I14,2)</f>
        <v>1481.25</v>
      </c>
      <c r="K14" s="20"/>
    </row>
    <row r="15" spans="1:13" x14ac:dyDescent="0.25">
      <c r="A15" s="23"/>
      <c r="B15" s="44" t="s">
        <v>82</v>
      </c>
      <c r="C15" s="45"/>
      <c r="D15" s="46"/>
      <c r="E15" s="47" t="s">
        <v>126</v>
      </c>
      <c r="F15" s="48"/>
      <c r="G15" s="140">
        <f>'MEMÓRIA DE CÁLCULO'!F14</f>
        <v>0</v>
      </c>
      <c r="H15" s="50"/>
      <c r="I15" s="49"/>
      <c r="J15" s="51">
        <f>SUM(J16:J17)</f>
        <v>22248.94</v>
      </c>
      <c r="K15" s="20"/>
      <c r="M15" s="59"/>
    </row>
    <row r="16" spans="1:13" ht="30" x14ac:dyDescent="0.25">
      <c r="A16" s="23"/>
      <c r="B16" s="52" t="s">
        <v>140</v>
      </c>
      <c r="C16" s="53" t="s">
        <v>132</v>
      </c>
      <c r="D16" s="54" t="s">
        <v>127</v>
      </c>
      <c r="E16" s="115" t="s">
        <v>152</v>
      </c>
      <c r="F16" s="55" t="s">
        <v>77</v>
      </c>
      <c r="G16" s="56">
        <f>'MEMÓRIA DE CÁLCULO'!F15</f>
        <v>40</v>
      </c>
      <c r="H16" s="57">
        <v>69.180000000000007</v>
      </c>
      <c r="I16" s="56">
        <f t="shared" ref="I16:I28" si="0">ROUND(H16*(1+$J$8),2)</f>
        <v>88.85</v>
      </c>
      <c r="J16" s="58">
        <f t="shared" ref="J16:J25" si="1">ROUND(G16*I16,2)</f>
        <v>3554</v>
      </c>
      <c r="K16" s="20"/>
      <c r="M16" s="125"/>
    </row>
    <row r="17" spans="1:16" ht="45" x14ac:dyDescent="0.25">
      <c r="A17" s="23"/>
      <c r="B17" s="52" t="s">
        <v>141</v>
      </c>
      <c r="C17" s="53" t="s">
        <v>88</v>
      </c>
      <c r="D17" s="54" t="s">
        <v>128</v>
      </c>
      <c r="E17" s="115" t="s">
        <v>153</v>
      </c>
      <c r="F17" s="55" t="s">
        <v>89</v>
      </c>
      <c r="G17" s="56">
        <f>'MEMÓRIA DE CÁLCULO'!F16</f>
        <v>5066.38</v>
      </c>
      <c r="H17" s="57">
        <v>2.87</v>
      </c>
      <c r="I17" s="56">
        <f t="shared" ref="I17" si="2">ROUND(H17*(1+$J$8),2)</f>
        <v>3.69</v>
      </c>
      <c r="J17" s="58">
        <f t="shared" si="1"/>
        <v>18694.939999999999</v>
      </c>
      <c r="K17" s="20"/>
      <c r="M17" s="125"/>
    </row>
    <row r="18" spans="1:16" x14ac:dyDescent="0.25">
      <c r="A18" s="23"/>
      <c r="B18" s="44" t="s">
        <v>97</v>
      </c>
      <c r="C18" s="45"/>
      <c r="D18" s="46"/>
      <c r="E18" s="47" t="s">
        <v>133</v>
      </c>
      <c r="F18" s="48"/>
      <c r="G18" s="140">
        <f>'MEMÓRIA DE CÁLCULO'!F17</f>
        <v>0</v>
      </c>
      <c r="H18" s="50"/>
      <c r="I18" s="49"/>
      <c r="J18" s="51">
        <f>SUM(J19:J22)</f>
        <v>46317.98</v>
      </c>
      <c r="K18" s="20"/>
      <c r="M18" s="125"/>
    </row>
    <row r="19" spans="1:16" x14ac:dyDescent="0.25">
      <c r="A19" s="23"/>
      <c r="B19" s="52" t="s">
        <v>98</v>
      </c>
      <c r="C19" s="53" t="s">
        <v>117</v>
      </c>
      <c r="D19" s="54" t="s">
        <v>129</v>
      </c>
      <c r="E19" s="115" t="s">
        <v>164</v>
      </c>
      <c r="F19" s="55" t="s">
        <v>89</v>
      </c>
      <c r="G19" s="56">
        <f>'MEMÓRIA DE CÁLCULO'!F18</f>
        <v>5066.38</v>
      </c>
      <c r="H19" s="57">
        <v>3.53</v>
      </c>
      <c r="I19" s="56">
        <f t="shared" si="0"/>
        <v>4.53</v>
      </c>
      <c r="J19" s="58">
        <f t="shared" si="1"/>
        <v>22950.7</v>
      </c>
      <c r="K19" s="20"/>
    </row>
    <row r="20" spans="1:16" ht="75" x14ac:dyDescent="0.25">
      <c r="A20" s="23"/>
      <c r="B20" s="52" t="s">
        <v>99</v>
      </c>
      <c r="C20" s="53" t="s">
        <v>88</v>
      </c>
      <c r="D20" s="54" t="s">
        <v>95</v>
      </c>
      <c r="E20" s="115" t="s">
        <v>172</v>
      </c>
      <c r="F20" s="55" t="s">
        <v>90</v>
      </c>
      <c r="G20" s="56">
        <f>'MEMÓRIA DE CÁLCULO'!F19</f>
        <v>2723.6899999999996</v>
      </c>
      <c r="H20" s="57">
        <v>0.56000000000000005</v>
      </c>
      <c r="I20" s="56">
        <f t="shared" si="0"/>
        <v>0.72</v>
      </c>
      <c r="J20" s="58">
        <f t="shared" si="1"/>
        <v>1961.06</v>
      </c>
      <c r="K20" s="20"/>
      <c r="N20" s="125"/>
      <c r="P20" s="125"/>
    </row>
    <row r="21" spans="1:16" x14ac:dyDescent="0.25">
      <c r="A21" s="23"/>
      <c r="B21" s="52" t="s">
        <v>100</v>
      </c>
      <c r="C21" s="53" t="s">
        <v>117</v>
      </c>
      <c r="D21" s="54" t="s">
        <v>118</v>
      </c>
      <c r="E21" s="115" t="s">
        <v>165</v>
      </c>
      <c r="F21" s="55" t="s">
        <v>89</v>
      </c>
      <c r="G21" s="56">
        <f>'MEMÓRIA DE CÁLCULO'!F20</f>
        <v>5066.38</v>
      </c>
      <c r="H21" s="57">
        <v>3.18</v>
      </c>
      <c r="I21" s="56">
        <f t="shared" ref="I21" si="3">ROUND(H21*(1+$J$8),2)</f>
        <v>4.08</v>
      </c>
      <c r="J21" s="58">
        <f t="shared" ref="J21:J22" si="4">ROUND(G21*I21,2)</f>
        <v>20670.830000000002</v>
      </c>
      <c r="K21" s="20"/>
      <c r="N21" s="125"/>
      <c r="P21" s="125"/>
    </row>
    <row r="22" spans="1:16" ht="90" x14ac:dyDescent="0.25">
      <c r="A22" s="23"/>
      <c r="B22" s="52" t="s">
        <v>101</v>
      </c>
      <c r="C22" s="53" t="s">
        <v>88</v>
      </c>
      <c r="D22" s="54" t="s">
        <v>95</v>
      </c>
      <c r="E22" s="115" t="s">
        <v>173</v>
      </c>
      <c r="F22" s="55" t="s">
        <v>90</v>
      </c>
      <c r="G22" s="56">
        <f>'MEMÓRIA DE CÁLCULO'!F21</f>
        <v>1021.38</v>
      </c>
      <c r="H22" s="57">
        <v>0.56000000000000005</v>
      </c>
      <c r="I22" s="56">
        <f>ROUND(H22*(1+$J$8),2)</f>
        <v>0.72</v>
      </c>
      <c r="J22" s="58">
        <f t="shared" si="4"/>
        <v>735.39</v>
      </c>
      <c r="K22" s="20"/>
      <c r="N22" s="125">
        <f>SUM(J18+J23)</f>
        <v>438709.63</v>
      </c>
      <c r="O22">
        <f>N22/G21</f>
        <v>86.592326276355109</v>
      </c>
      <c r="P22" s="125"/>
    </row>
    <row r="23" spans="1:16" x14ac:dyDescent="0.25">
      <c r="A23" s="23"/>
      <c r="B23" s="44" t="s">
        <v>125</v>
      </c>
      <c r="C23" s="45"/>
      <c r="D23" s="46"/>
      <c r="E23" s="89" t="s">
        <v>177</v>
      </c>
      <c r="F23" s="48"/>
      <c r="G23" s="140">
        <f>'MEMÓRIA DE CÁLCULO'!F22</f>
        <v>392391.66000000003</v>
      </c>
      <c r="H23" s="50"/>
      <c r="I23" s="49"/>
      <c r="J23" s="51">
        <f>SUM(J24:J25)</f>
        <v>392391.65</v>
      </c>
      <c r="K23" s="20"/>
      <c r="N23" s="125"/>
      <c r="P23" s="125"/>
    </row>
    <row r="24" spans="1:16" ht="60" x14ac:dyDescent="0.25">
      <c r="A24" s="23"/>
      <c r="B24" s="52" t="s">
        <v>138</v>
      </c>
      <c r="C24" s="53" t="s">
        <v>132</v>
      </c>
      <c r="D24" s="54" t="s">
        <v>91</v>
      </c>
      <c r="E24" s="115" t="s">
        <v>92</v>
      </c>
      <c r="F24" s="55" t="s">
        <v>93</v>
      </c>
      <c r="G24" s="56">
        <f>'MEMÓRIA DE CÁLCULO'!F23</f>
        <v>163.44</v>
      </c>
      <c r="H24" s="57">
        <v>1796.47</v>
      </c>
      <c r="I24" s="56">
        <f t="shared" si="0"/>
        <v>2307.39</v>
      </c>
      <c r="J24" s="58">
        <f t="shared" si="1"/>
        <v>377119.82</v>
      </c>
      <c r="K24" s="20"/>
      <c r="O24" s="125"/>
    </row>
    <row r="25" spans="1:16" ht="60" x14ac:dyDescent="0.25">
      <c r="A25" s="23"/>
      <c r="B25" s="52" t="s">
        <v>139</v>
      </c>
      <c r="C25" s="53" t="s">
        <v>88</v>
      </c>
      <c r="D25" s="54" t="s">
        <v>96</v>
      </c>
      <c r="E25" s="115" t="s">
        <v>123</v>
      </c>
      <c r="F25" s="55" t="s">
        <v>94</v>
      </c>
      <c r="G25" s="56">
        <f>'MEMÓRIA DE CÁLCULO'!F24</f>
        <v>11931.12</v>
      </c>
      <c r="H25" s="57">
        <v>1</v>
      </c>
      <c r="I25" s="56">
        <f t="shared" si="0"/>
        <v>1.28</v>
      </c>
      <c r="J25" s="58">
        <f t="shared" si="1"/>
        <v>15271.83</v>
      </c>
      <c r="K25" s="20"/>
    </row>
    <row r="26" spans="1:16" x14ac:dyDescent="0.25">
      <c r="A26" s="23"/>
      <c r="B26" s="44" t="s">
        <v>135</v>
      </c>
      <c r="C26" s="45"/>
      <c r="D26" s="46"/>
      <c r="E26" s="89" t="s">
        <v>134</v>
      </c>
      <c r="F26" s="48"/>
      <c r="G26" s="140">
        <f>'MEMÓRIA DE CÁLCULO'!F25</f>
        <v>57878.43</v>
      </c>
      <c r="H26" s="50"/>
      <c r="I26" s="49"/>
      <c r="J26" s="51">
        <f>SUM(J27:J28)</f>
        <v>57878.43</v>
      </c>
      <c r="K26" s="20"/>
    </row>
    <row r="27" spans="1:16" ht="30" x14ac:dyDescent="0.25">
      <c r="A27" s="23"/>
      <c r="B27" s="52" t="s">
        <v>136</v>
      </c>
      <c r="C27" s="53" t="s">
        <v>88</v>
      </c>
      <c r="D27" s="54" t="s">
        <v>130</v>
      </c>
      <c r="E27" s="115" t="s">
        <v>154</v>
      </c>
      <c r="F27" s="55" t="s">
        <v>78</v>
      </c>
      <c r="G27" s="56">
        <f>'MEMÓRIA DE CÁLCULO'!F26</f>
        <v>444.5</v>
      </c>
      <c r="H27" s="57">
        <v>50.28</v>
      </c>
      <c r="I27" s="56">
        <f t="shared" ref="I27" si="5">ROUND(H27*(1+$J$8),2)</f>
        <v>64.58</v>
      </c>
      <c r="J27" s="58">
        <f t="shared" ref="J27" si="6">ROUND(G27*I27,2)</f>
        <v>28705.81</v>
      </c>
      <c r="K27" s="20"/>
      <c r="M27" s="59">
        <f>SUM(G27:G28)</f>
        <v>818.46</v>
      </c>
    </row>
    <row r="28" spans="1:16" ht="45" x14ac:dyDescent="0.25">
      <c r="A28" s="23"/>
      <c r="B28" s="52" t="s">
        <v>137</v>
      </c>
      <c r="C28" s="53" t="s">
        <v>88</v>
      </c>
      <c r="D28" s="54" t="s">
        <v>131</v>
      </c>
      <c r="E28" s="115" t="s">
        <v>155</v>
      </c>
      <c r="F28" s="55" t="s">
        <v>78</v>
      </c>
      <c r="G28" s="56">
        <f>'MEMÓRIA DE CÁLCULO'!F27</f>
        <v>373.96000000000004</v>
      </c>
      <c r="H28" s="57">
        <v>60.74</v>
      </c>
      <c r="I28" s="56">
        <f t="shared" si="0"/>
        <v>78.010000000000005</v>
      </c>
      <c r="J28" s="58">
        <f t="shared" ref="J28" si="7">ROUND(G28*I28,2)</f>
        <v>29172.62</v>
      </c>
      <c r="K28" s="20"/>
    </row>
    <row r="29" spans="1:16" ht="10.5" customHeight="1" x14ac:dyDescent="0.25">
      <c r="A29" s="23"/>
      <c r="B29" s="28"/>
      <c r="C29" s="29"/>
      <c r="D29" s="29"/>
      <c r="E29" s="29"/>
      <c r="F29" s="29"/>
      <c r="G29" s="29"/>
      <c r="H29" s="29"/>
      <c r="I29" s="29"/>
      <c r="J29" s="30"/>
      <c r="K29" s="20"/>
    </row>
    <row r="30" spans="1:16" x14ac:dyDescent="0.25">
      <c r="A30" s="23"/>
      <c r="B30" s="17"/>
      <c r="C30" s="17"/>
      <c r="D30" s="17"/>
      <c r="E30" s="17"/>
      <c r="F30" s="17"/>
      <c r="G30" s="17"/>
      <c r="H30" s="17"/>
      <c r="I30" s="17"/>
      <c r="J30" s="17"/>
      <c r="K30" s="20"/>
    </row>
    <row r="31" spans="1:16" x14ac:dyDescent="0.25">
      <c r="A31" s="23"/>
      <c r="B31" s="194" t="s">
        <v>24</v>
      </c>
      <c r="C31" s="195"/>
      <c r="D31" s="195"/>
      <c r="E31" s="195"/>
      <c r="F31" s="195"/>
      <c r="G31" s="195"/>
      <c r="H31" s="195"/>
      <c r="I31" s="195"/>
      <c r="J31" s="196"/>
      <c r="K31" s="20"/>
    </row>
    <row r="32" spans="1:16" x14ac:dyDescent="0.25">
      <c r="A32" s="23"/>
      <c r="B32" s="202"/>
      <c r="C32" s="202"/>
      <c r="D32" s="202"/>
      <c r="E32" s="202"/>
      <c r="F32" s="202"/>
      <c r="G32" s="202"/>
      <c r="H32" s="202"/>
      <c r="I32" s="202"/>
      <c r="J32" s="202"/>
      <c r="K32" s="20"/>
    </row>
    <row r="33" spans="1:11" x14ac:dyDescent="0.25">
      <c r="A33" s="23"/>
      <c r="B33" s="202"/>
      <c r="C33" s="202"/>
      <c r="D33" s="202"/>
      <c r="E33" s="202"/>
      <c r="F33" s="202"/>
      <c r="G33" s="202"/>
      <c r="H33" s="202"/>
      <c r="I33" s="202"/>
      <c r="J33" s="202"/>
      <c r="K33" s="20"/>
    </row>
    <row r="34" spans="1:11" x14ac:dyDescent="0.25">
      <c r="A34" s="23"/>
      <c r="B34" s="60"/>
      <c r="C34" s="60"/>
      <c r="D34" s="60"/>
      <c r="E34" s="60"/>
      <c r="F34" s="60"/>
      <c r="G34" s="60"/>
      <c r="H34" s="60"/>
      <c r="I34" s="60"/>
      <c r="J34" s="60"/>
      <c r="K34" s="20"/>
    </row>
    <row r="35" spans="1:11" x14ac:dyDescent="0.25">
      <c r="A35" s="23"/>
      <c r="B35" s="60"/>
      <c r="C35" s="60"/>
      <c r="D35" s="60"/>
      <c r="E35" s="60"/>
      <c r="F35" s="60"/>
      <c r="G35" s="60"/>
      <c r="H35" s="60"/>
      <c r="I35" s="60"/>
      <c r="J35" s="60"/>
      <c r="K35" s="20"/>
    </row>
    <row r="36" spans="1:11" x14ac:dyDescent="0.25">
      <c r="A36" s="23"/>
      <c r="B36" s="60"/>
      <c r="C36" s="60"/>
      <c r="D36" s="60"/>
      <c r="E36" s="60"/>
      <c r="F36" s="60"/>
      <c r="G36" s="60"/>
      <c r="H36" s="60"/>
      <c r="I36" s="60"/>
      <c r="J36" s="60"/>
      <c r="K36" s="20"/>
    </row>
    <row r="37" spans="1:11" x14ac:dyDescent="0.25">
      <c r="A37" s="23"/>
      <c r="B37" s="17"/>
      <c r="C37" s="17"/>
      <c r="D37" s="17"/>
      <c r="E37" s="17"/>
      <c r="F37" s="17"/>
      <c r="G37" s="17"/>
      <c r="H37" s="17"/>
      <c r="I37" s="17"/>
      <c r="J37" s="17"/>
      <c r="K37" s="20"/>
    </row>
    <row r="38" spans="1:11" x14ac:dyDescent="0.25">
      <c r="A38" s="23"/>
      <c r="B38" s="197" t="str">
        <f>BDI!B42</f>
        <v>SÃO JOÃO DA LAGOA</v>
      </c>
      <c r="C38" s="197"/>
      <c r="D38" s="197"/>
      <c r="E38" s="17"/>
      <c r="F38" s="61"/>
      <c r="G38" s="61"/>
      <c r="H38" s="61"/>
      <c r="I38" s="17"/>
      <c r="J38" s="17"/>
      <c r="K38" s="20"/>
    </row>
    <row r="39" spans="1:11" x14ac:dyDescent="0.25">
      <c r="A39" s="23"/>
      <c r="B39" s="62" t="s">
        <v>25</v>
      </c>
      <c r="C39" s="17"/>
      <c r="D39" s="17"/>
      <c r="E39" s="17"/>
      <c r="F39" s="63" t="s">
        <v>27</v>
      </c>
      <c r="G39" s="63"/>
      <c r="H39" s="63"/>
      <c r="I39" s="17"/>
      <c r="J39" s="17"/>
      <c r="K39" s="20"/>
    </row>
    <row r="40" spans="1:11" x14ac:dyDescent="0.25">
      <c r="A40" s="23"/>
      <c r="B40" s="17"/>
      <c r="C40" s="17"/>
      <c r="D40" s="17"/>
      <c r="E40" s="17"/>
      <c r="F40" s="15" t="s">
        <v>28</v>
      </c>
      <c r="G40" s="193" t="str">
        <f>BDI!C48</f>
        <v>LEONARDO PETERSON AMARAL LIMA</v>
      </c>
      <c r="H40" s="193"/>
      <c r="I40" s="17"/>
      <c r="J40" s="17"/>
      <c r="K40" s="20"/>
    </row>
    <row r="41" spans="1:11" x14ac:dyDescent="0.25">
      <c r="A41" s="23"/>
      <c r="B41" s="156" t="str">
        <f>BDI!H42</f>
        <v>segunda-feira, 10 de Abril de 2026</v>
      </c>
      <c r="C41" s="156"/>
      <c r="D41" s="156"/>
      <c r="E41" s="17"/>
      <c r="F41" s="15" t="s">
        <v>29</v>
      </c>
      <c r="G41" s="193" t="str">
        <f>BDI!C49</f>
        <v>331.073/D</v>
      </c>
      <c r="H41" s="193"/>
      <c r="I41" s="17"/>
      <c r="J41" s="17"/>
      <c r="K41" s="20"/>
    </row>
    <row r="42" spans="1:11" x14ac:dyDescent="0.25">
      <c r="A42" s="23"/>
      <c r="B42" s="64" t="s">
        <v>26</v>
      </c>
      <c r="C42" s="65"/>
      <c r="D42" s="65"/>
      <c r="E42" s="17"/>
      <c r="F42" s="15" t="s">
        <v>30</v>
      </c>
      <c r="G42" s="193" t="str">
        <f>BDI!C50</f>
        <v>MG20264928207</v>
      </c>
      <c r="H42" s="193"/>
      <c r="I42" s="17"/>
      <c r="J42" s="17"/>
      <c r="K42" s="20"/>
    </row>
    <row r="43" spans="1:11" ht="7.5" customHeight="1" x14ac:dyDescent="0.25">
      <c r="A43" s="24"/>
      <c r="B43" s="21"/>
      <c r="C43" s="21"/>
      <c r="D43" s="21"/>
      <c r="E43" s="21"/>
      <c r="F43" s="21"/>
      <c r="G43" s="21"/>
      <c r="H43" s="21"/>
      <c r="I43" s="21"/>
      <c r="J43" s="21"/>
      <c r="K43" s="22"/>
    </row>
  </sheetData>
  <mergeCells count="20">
    <mergeCell ref="G42:H42"/>
    <mergeCell ref="B31:J31"/>
    <mergeCell ref="B38:D38"/>
    <mergeCell ref="B41:D41"/>
    <mergeCell ref="B9:J9"/>
    <mergeCell ref="B11:E11"/>
    <mergeCell ref="B32:J33"/>
    <mergeCell ref="G40:H40"/>
    <mergeCell ref="G41:H41"/>
    <mergeCell ref="E8:G8"/>
    <mergeCell ref="E7:G7"/>
    <mergeCell ref="H8:I8"/>
    <mergeCell ref="H7:I7"/>
    <mergeCell ref="B2:J2"/>
    <mergeCell ref="B7:C7"/>
    <mergeCell ref="B8:C8"/>
    <mergeCell ref="B4:D4"/>
    <mergeCell ref="B5:D5"/>
    <mergeCell ref="E4:J4"/>
    <mergeCell ref="E5:J5"/>
  </mergeCells>
  <phoneticPr fontId="14" type="noConversion"/>
  <conditionalFormatting sqref="B9">
    <cfRule type="expression" dxfId="46" priority="56" stopIfTrue="1">
      <formula>ISERROR(INDIRECT(#REF!))</formula>
    </cfRule>
  </conditionalFormatting>
  <conditionalFormatting sqref="B12:B28 I12:J28">
    <cfRule type="expression" dxfId="45" priority="47" stopIfTrue="1">
      <formula>$B12=1</formula>
    </cfRule>
    <cfRule type="expression" dxfId="44" priority="48" stopIfTrue="1">
      <formula>OR($B12=0,$B12=2,$B12=3,$B12=4)</formula>
    </cfRule>
  </conditionalFormatting>
  <conditionalFormatting sqref="C12:D13 C15:D15 C18:D18 C23:D23 C26:D26">
    <cfRule type="expression" dxfId="43" priority="27" stopIfTrue="1">
      <formula>$B12=1</formula>
    </cfRule>
    <cfRule type="expression" dxfId="42" priority="28" stopIfTrue="1">
      <formula>OR($B12=0,$B12=2,$B12=3,$B12=4)</formula>
    </cfRule>
  </conditionalFormatting>
  <conditionalFormatting sqref="C14:D14">
    <cfRule type="expression" dxfId="41" priority="15" stopIfTrue="1">
      <formula>$C14=1</formula>
    </cfRule>
    <cfRule type="expression" dxfId="40" priority="16" stopIfTrue="1">
      <formula>OR($C14=0,$C14=2,$C14=3,$C14=4)</formula>
    </cfRule>
  </conditionalFormatting>
  <conditionalFormatting sqref="C16:D17">
    <cfRule type="expression" dxfId="39" priority="1" stopIfTrue="1">
      <formula>$C16=1</formula>
    </cfRule>
    <cfRule type="expression" dxfId="38" priority="2" stopIfTrue="1">
      <formula>OR($C16=0,$C16=2,$C16=3,$C16=4)</formula>
    </cfRule>
  </conditionalFormatting>
  <conditionalFormatting sqref="C19:D22">
    <cfRule type="expression" dxfId="37" priority="11" stopIfTrue="1">
      <formula>$C19=1</formula>
    </cfRule>
    <cfRule type="expression" dxfId="36" priority="12" stopIfTrue="1">
      <formula>OR($C19=0,$C19=2,$C19=3,$C19=4)</formula>
    </cfRule>
  </conditionalFormatting>
  <conditionalFormatting sqref="C24:D25">
    <cfRule type="expression" dxfId="35" priority="3" stopIfTrue="1">
      <formula>$C24=1</formula>
    </cfRule>
    <cfRule type="expression" dxfId="34" priority="4" stopIfTrue="1">
      <formula>OR($C24=0,$C24=2,$C24=3,$C24=4)</formula>
    </cfRule>
  </conditionalFormatting>
  <conditionalFormatting sqref="C27:D28">
    <cfRule type="expression" dxfId="33" priority="5" stopIfTrue="1">
      <formula>$C27=1</formula>
    </cfRule>
    <cfRule type="expression" dxfId="32" priority="6" stopIfTrue="1">
      <formula>OR($C27=0,$C27=2,$C27=3,$C27=4)</formula>
    </cfRule>
  </conditionalFormatting>
  <conditionalFormatting sqref="E12 E15">
    <cfRule type="expression" dxfId="31" priority="22" stopIfTrue="1">
      <formula>$B12=1</formula>
    </cfRule>
    <cfRule type="expression" dxfId="30" priority="23" stopIfTrue="1">
      <formula>OR($B12=0,$B12=2,$B12=3,$B12=4)</formula>
    </cfRule>
  </conditionalFormatting>
  <conditionalFormatting sqref="E18">
    <cfRule type="expression" dxfId="29" priority="17" stopIfTrue="1">
      <formula>$B18=1</formula>
    </cfRule>
    <cfRule type="expression" dxfId="28" priority="18" stopIfTrue="1">
      <formula>OR($B18=0,$B18=2,$B18=3,$B18=4)</formula>
    </cfRule>
  </conditionalFormatting>
  <conditionalFormatting sqref="F12:G28">
    <cfRule type="expression" dxfId="27" priority="35" stopIfTrue="1">
      <formula>$B12=1</formula>
    </cfRule>
  </conditionalFormatting>
  <conditionalFormatting sqref="F12:H14 F15:G28">
    <cfRule type="expression" dxfId="26" priority="36" stopIfTrue="1">
      <formula>OR($B12=0,$B12=2,$B12=3,$B12=4)</formula>
    </cfRule>
  </conditionalFormatting>
  <conditionalFormatting sqref="H12:H14">
    <cfRule type="expression" dxfId="25" priority="42" stopIfTrue="1">
      <formula>AND(TIPOORCAMENTO="Licitado",$B12&lt;&gt;"L",$B12&lt;&gt;-1)</formula>
    </cfRule>
  </conditionalFormatting>
  <conditionalFormatting sqref="H12:H28">
    <cfRule type="expression" dxfId="24" priority="24" stopIfTrue="1">
      <formula>$B12=1</formula>
    </cfRule>
  </conditionalFormatting>
  <conditionalFormatting sqref="H15:H28">
    <cfRule type="expression" dxfId="23" priority="25" stopIfTrue="1">
      <formula>OR($B15=0,$B15=2,$B15=3,$B15=4)</formula>
    </cfRule>
    <cfRule type="expression" dxfId="22" priority="26" stopIfTrue="1">
      <formula>AND(TIPOORCAMENTO="Licitado",$B15&lt;&gt;"L",$B15&lt;&gt;-1)</formula>
    </cfRule>
  </conditionalFormatting>
  <dataValidations count="4">
    <dataValidation allowBlank="1" showInputMessage="1" showErrorMessage="1" prompt="Para Orçamento Proposto, o Preço Unitário é resultado do produto do Custo Unitário pelo BDI._x000a_Para Orçamento Licitado, deve ser preenchido na Coluna AL." sqref="I12:I28" xr:uid="{2F66BD13-DB74-443D-AF9F-DCB7BC881B6C}"/>
    <dataValidation allowBlank="1" showInputMessage="1" showErrorMessage="1" prompt="A entrada de quantidades é feita na coluna AJ se acompanhamento por BM, ou na aba &quot;Memória de Cálculo/PLQ&quot; se acompanhamento por PLE." sqref="G12:G28" xr:uid="{9435D31E-8F39-46DC-8664-E6873A956EA7}"/>
    <dataValidation type="list" allowBlank="1" sqref="C12:C28" xr:uid="{6A803080-FFBE-43C8-BA75-8EE08DDFB569}">
      <formula1>"SINAPI,SINAPI-I,SICRO,Composição,Cotação"</formula1>
      <formula2>0</formula2>
    </dataValidation>
    <dataValidation type="decimal" operator="greaterThan" allowBlank="1" showErrorMessage="1" error="Apenas números decimais maiores que zero." sqref="H12:H28" xr:uid="{3BB7DEE2-B581-40FA-B66A-7BBFD56D8751}">
      <formula1>0</formula1>
      <formula2>0</formula2>
    </dataValidation>
  </dataValidations>
  <printOptions horizontalCentered="1"/>
  <pageMargins left="0.39370078740157483" right="0.78740157480314965" top="0.39370078740157483" bottom="0.39370078740157483" header="0.39370078740157483" footer="0.31496062992125984"/>
  <pageSetup paperSize="9"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3F06-9290-48FA-AD6D-F64006019ED9}">
  <dimension ref="A1:O26"/>
  <sheetViews>
    <sheetView workbookViewId="0">
      <selection activeCell="N21" sqref="N21"/>
    </sheetView>
  </sheetViews>
  <sheetFormatPr defaultRowHeight="15" x14ac:dyDescent="0.25"/>
  <cols>
    <col min="1" max="1" width="1.5703125" customWidth="1"/>
    <col min="3" max="3" width="47.85546875" customWidth="1"/>
    <col min="4" max="4" width="17.42578125" customWidth="1"/>
    <col min="5" max="5" width="14.5703125" customWidth="1"/>
    <col min="6" max="9" width="12.7109375" customWidth="1"/>
    <col min="10" max="10" width="14.85546875" customWidth="1"/>
    <col min="11" max="11" width="1.85546875" customWidth="1"/>
    <col min="12" max="12" width="2" customWidth="1"/>
    <col min="14" max="14" width="12" customWidth="1"/>
    <col min="15" max="15" width="13.5703125" customWidth="1"/>
  </cols>
  <sheetData>
    <row r="1" spans="1:15" x14ac:dyDescent="0.25">
      <c r="A1" s="25"/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5" ht="15.75" x14ac:dyDescent="0.25">
      <c r="A2" s="23"/>
      <c r="B2" s="188" t="s">
        <v>73</v>
      </c>
      <c r="C2" s="188"/>
      <c r="D2" s="188"/>
      <c r="E2" s="188"/>
      <c r="F2" s="188"/>
      <c r="G2" s="188"/>
      <c r="H2" s="188"/>
      <c r="I2" s="188"/>
      <c r="J2" s="188"/>
      <c r="K2" s="20"/>
    </row>
    <row r="3" spans="1:15" x14ac:dyDescent="0.25">
      <c r="A3" s="23"/>
      <c r="B3" s="114"/>
      <c r="C3" s="114"/>
      <c r="D3" s="114"/>
      <c r="E3" s="114"/>
      <c r="F3" s="114"/>
      <c r="G3" s="114"/>
      <c r="H3" s="114"/>
      <c r="I3" s="114"/>
      <c r="J3" s="117"/>
      <c r="K3" s="20"/>
    </row>
    <row r="4" spans="1:15" x14ac:dyDescent="0.25">
      <c r="A4" s="23"/>
      <c r="B4" s="209" t="s">
        <v>2</v>
      </c>
      <c r="C4" s="211"/>
      <c r="D4" s="209" t="s">
        <v>42</v>
      </c>
      <c r="E4" s="210"/>
      <c r="F4" s="210"/>
      <c r="G4" s="210"/>
      <c r="H4" s="210"/>
      <c r="I4" s="210"/>
      <c r="J4" s="211"/>
      <c r="K4" s="20"/>
    </row>
    <row r="5" spans="1:15" ht="38.25" customHeight="1" x14ac:dyDescent="0.25">
      <c r="A5" s="23"/>
      <c r="B5" s="219" t="str">
        <f>ORÇAMENTO!B5</f>
        <v>PREFEITURA MUNICIPAL DE SÃO JOÃO DA LAGOA</v>
      </c>
      <c r="C5" s="220"/>
      <c r="D5" s="212" t="str">
        <f>ORÇAMENTO!E5</f>
        <v>PAVIMENTAÇÃO ASFÁLTICA EM CBUQ NA AVENIDA BENEDITO PEREIRA LIMA E PARQUE DE VAQUEJADA PORTAL DA LAGOA, ZONA URBANA DO MUNICÍPIO DE SÃO JOÃO DA LAGOA/MG</v>
      </c>
      <c r="E5" s="213"/>
      <c r="F5" s="213"/>
      <c r="G5" s="213"/>
      <c r="H5" s="213"/>
      <c r="I5" s="213"/>
      <c r="J5" s="214"/>
      <c r="K5" s="20"/>
    </row>
    <row r="6" spans="1:15" x14ac:dyDescent="0.25">
      <c r="A6" s="23"/>
      <c r="B6" s="85"/>
      <c r="C6" s="85"/>
      <c r="D6" s="85"/>
      <c r="E6" s="85"/>
      <c r="F6" s="85"/>
      <c r="G6" s="85"/>
      <c r="H6" s="85"/>
      <c r="I6" s="85"/>
      <c r="J6" s="85"/>
      <c r="K6" s="20"/>
    </row>
    <row r="7" spans="1:15" x14ac:dyDescent="0.25">
      <c r="A7" s="23"/>
      <c r="B7" s="215" t="s">
        <v>47</v>
      </c>
      <c r="C7" s="216" t="s">
        <v>50</v>
      </c>
      <c r="D7" s="217" t="s">
        <v>68</v>
      </c>
      <c r="E7" s="218" t="s">
        <v>69</v>
      </c>
      <c r="F7" s="100">
        <v>1</v>
      </c>
      <c r="G7" s="101">
        <v>2</v>
      </c>
      <c r="H7" s="101">
        <v>3</v>
      </c>
      <c r="I7" s="101">
        <v>4</v>
      </c>
      <c r="J7" s="101">
        <v>5</v>
      </c>
      <c r="K7" s="20"/>
    </row>
    <row r="8" spans="1:15" x14ac:dyDescent="0.25">
      <c r="A8" s="23"/>
      <c r="B8" s="215"/>
      <c r="C8" s="216"/>
      <c r="D8" s="217"/>
      <c r="E8" s="218"/>
      <c r="F8" s="102">
        <v>46174</v>
      </c>
      <c r="G8" s="102">
        <v>46204</v>
      </c>
      <c r="H8" s="102">
        <v>46235</v>
      </c>
      <c r="I8" s="102">
        <v>46266</v>
      </c>
      <c r="J8" s="102">
        <v>46296</v>
      </c>
      <c r="K8" s="20"/>
    </row>
    <row r="9" spans="1:15" ht="38.25" x14ac:dyDescent="0.25">
      <c r="A9" s="23"/>
      <c r="B9" s="103" t="s">
        <v>67</v>
      </c>
      <c r="C9" s="127" t="str">
        <f>ORÇAMENTO!E12</f>
        <v>PAVIMENTAÇÃO DO PARQUE DE VAQUEJADA PORTAL DA LAGOA E AVENIDA BENEDITO PEREIRA LIMA</v>
      </c>
      <c r="D9" s="104">
        <f>ORÇAMENTO!J12</f>
        <v>520318.25</v>
      </c>
      <c r="E9" s="105" t="s">
        <v>70</v>
      </c>
      <c r="F9" s="106">
        <f>ROUND(((F10*$D$10)+(F11*$D$11)+($D$12*F12)+($D$13*F13)+($D$14*F14))/$D$9,4)</f>
        <v>4.5600000000000002E-2</v>
      </c>
      <c r="G9" s="106">
        <f t="shared" ref="G9:H9" si="0">ROUND(((G10*$D$10)+(G11*$D$11)+($D$12*G12)+($D$13*G13)+($D$14*G14))/$D$9,4)</f>
        <v>0.66690000000000005</v>
      </c>
      <c r="H9" s="106">
        <f t="shared" si="0"/>
        <v>0.28749999999999998</v>
      </c>
      <c r="I9" s="106"/>
      <c r="J9" s="106">
        <v>0</v>
      </c>
      <c r="K9" s="20"/>
      <c r="M9" s="7">
        <f>SUM(F9:H9)</f>
        <v>1</v>
      </c>
      <c r="N9" s="7"/>
    </row>
    <row r="10" spans="1:15" x14ac:dyDescent="0.25">
      <c r="A10" s="23"/>
      <c r="B10" s="103" t="s">
        <v>71</v>
      </c>
      <c r="C10" s="112" t="str">
        <f>ORÇAMENTO!E13</f>
        <v>SERVIÇOS INICIAIS</v>
      </c>
      <c r="D10" s="104">
        <f>ORÇAMENTO!J13</f>
        <v>1481.25</v>
      </c>
      <c r="E10" s="105" t="s">
        <v>70</v>
      </c>
      <c r="F10" s="106">
        <v>1</v>
      </c>
      <c r="G10" s="106">
        <v>0</v>
      </c>
      <c r="H10" s="106">
        <v>0</v>
      </c>
      <c r="I10" s="106"/>
      <c r="J10" s="106">
        <v>0</v>
      </c>
      <c r="K10" s="20"/>
      <c r="M10" s="7">
        <f t="shared" ref="M10:M14" si="1">SUM(F10:H10)</f>
        <v>1</v>
      </c>
      <c r="N10" s="131"/>
    </row>
    <row r="11" spans="1:15" x14ac:dyDescent="0.25">
      <c r="A11" s="23"/>
      <c r="B11" s="103" t="s">
        <v>82</v>
      </c>
      <c r="C11" s="112" t="str">
        <f>ORÇAMENTO!E15</f>
        <v>BASE</v>
      </c>
      <c r="D11" s="104">
        <f>ORÇAMENTO!J15</f>
        <v>22248.94</v>
      </c>
      <c r="E11" s="105" t="s">
        <v>70</v>
      </c>
      <c r="F11" s="106">
        <v>1</v>
      </c>
      <c r="G11" s="106">
        <v>0</v>
      </c>
      <c r="H11" s="106">
        <v>0</v>
      </c>
      <c r="I11" s="106"/>
      <c r="J11" s="106"/>
      <c r="K11" s="20"/>
      <c r="M11" s="7">
        <f t="shared" si="1"/>
        <v>1</v>
      </c>
    </row>
    <row r="12" spans="1:15" x14ac:dyDescent="0.25">
      <c r="A12" s="23"/>
      <c r="B12" s="103" t="s">
        <v>71</v>
      </c>
      <c r="C12" s="112" t="str">
        <f>ORÇAMENTO!E18</f>
        <v>PINTURA DE LIGAÇÃO E IMPRIMAÇÃO</v>
      </c>
      <c r="D12" s="104">
        <f>ORÇAMENTO!J18</f>
        <v>46317.98</v>
      </c>
      <c r="E12" s="105" t="s">
        <v>70</v>
      </c>
      <c r="F12" s="106">
        <v>0</v>
      </c>
      <c r="G12" s="106">
        <v>0.77403793641171159</v>
      </c>
      <c r="H12" s="106">
        <v>0.22600000000000001</v>
      </c>
      <c r="I12" s="106"/>
      <c r="J12" s="106"/>
      <c r="K12" s="20"/>
      <c r="M12" s="7">
        <f t="shared" si="1"/>
        <v>1.0000379364117116</v>
      </c>
    </row>
    <row r="13" spans="1:15" x14ac:dyDescent="0.25">
      <c r="A13" s="23"/>
      <c r="B13" s="103" t="s">
        <v>97</v>
      </c>
      <c r="C13" s="112" t="str">
        <f>ORÇAMENTO!E23</f>
        <v>REVESTIMENTO ASFÁLTICO - CBUQ</v>
      </c>
      <c r="D13" s="104">
        <f>ORÇAMENTO!J23</f>
        <v>392391.65</v>
      </c>
      <c r="E13" s="105" t="s">
        <v>70</v>
      </c>
      <c r="F13" s="106">
        <v>0</v>
      </c>
      <c r="G13" s="106">
        <v>0.71983541213646807</v>
      </c>
      <c r="H13" s="106">
        <v>0.2802</v>
      </c>
      <c r="I13" s="106"/>
      <c r="J13" s="106"/>
      <c r="K13" s="20"/>
      <c r="M13" s="7">
        <f t="shared" si="1"/>
        <v>1.0000354121364681</v>
      </c>
    </row>
    <row r="14" spans="1:15" x14ac:dyDescent="0.25">
      <c r="A14" s="23"/>
      <c r="B14" s="103" t="s">
        <v>71</v>
      </c>
      <c r="C14" s="112" t="str">
        <f>ORÇAMENTO!E26</f>
        <v>MEIO-FIO/DRENAGEM</v>
      </c>
      <c r="D14" s="104">
        <f>ORÇAMENTO!J26</f>
        <v>57878.43</v>
      </c>
      <c r="E14" s="105" t="s">
        <v>70</v>
      </c>
      <c r="F14" s="106">
        <v>0</v>
      </c>
      <c r="G14" s="106">
        <v>0.49590000000000001</v>
      </c>
      <c r="H14" s="106">
        <v>0.50409999999999999</v>
      </c>
      <c r="I14" s="106"/>
      <c r="J14" s="106"/>
      <c r="K14" s="20"/>
      <c r="M14" s="7">
        <f t="shared" si="1"/>
        <v>1</v>
      </c>
    </row>
    <row r="15" spans="1:15" ht="7.5" customHeight="1" x14ac:dyDescent="0.25">
      <c r="A15" s="23"/>
      <c r="B15" s="208"/>
      <c r="C15" s="208"/>
      <c r="D15" s="208"/>
      <c r="E15" s="208"/>
      <c r="F15" s="208"/>
      <c r="G15" s="208"/>
      <c r="H15" s="208"/>
      <c r="I15" s="208"/>
      <c r="J15" s="208"/>
      <c r="K15" s="20"/>
    </row>
    <row r="16" spans="1:15" x14ac:dyDescent="0.25">
      <c r="A16" s="23"/>
      <c r="B16" s="205"/>
      <c r="C16" s="205"/>
      <c r="D16" s="203" t="s">
        <v>74</v>
      </c>
      <c r="E16" s="141" t="s">
        <v>72</v>
      </c>
      <c r="F16" s="142">
        <f>F9</f>
        <v>4.5600000000000002E-2</v>
      </c>
      <c r="G16" s="142">
        <f>G9</f>
        <v>0.66690000000000005</v>
      </c>
      <c r="H16" s="142">
        <f>H9</f>
        <v>0.28749999999999998</v>
      </c>
      <c r="I16" s="111"/>
      <c r="J16" s="111"/>
      <c r="K16" s="20"/>
      <c r="N16" s="126"/>
      <c r="O16" s="126"/>
    </row>
    <row r="17" spans="1:12" x14ac:dyDescent="0.25">
      <c r="A17" s="23"/>
      <c r="B17" s="205"/>
      <c r="C17" s="205"/>
      <c r="D17" s="204"/>
      <c r="E17" s="109" t="s">
        <v>75</v>
      </c>
      <c r="F17" s="110">
        <f>F16*$D$9</f>
        <v>23726.512200000001</v>
      </c>
      <c r="G17" s="110">
        <f>G16*$D$9</f>
        <v>347000.24092500005</v>
      </c>
      <c r="H17" s="110">
        <f>H16*$D$9</f>
        <v>149591.49687499998</v>
      </c>
      <c r="I17" s="111"/>
      <c r="J17" s="111"/>
      <c r="K17" s="20"/>
    </row>
    <row r="18" spans="1:12" x14ac:dyDescent="0.25">
      <c r="A18" s="23"/>
      <c r="B18" s="205"/>
      <c r="C18" s="205"/>
      <c r="D18" s="204" t="s">
        <v>76</v>
      </c>
      <c r="E18" s="107" t="s">
        <v>72</v>
      </c>
      <c r="F18" s="108">
        <f>F16</f>
        <v>4.5600000000000002E-2</v>
      </c>
      <c r="G18" s="108">
        <f t="shared" ref="G18:H18" si="2">F18+G16</f>
        <v>0.71250000000000002</v>
      </c>
      <c r="H18" s="108">
        <f t="shared" si="2"/>
        <v>1</v>
      </c>
      <c r="I18" s="111"/>
      <c r="J18" s="111"/>
      <c r="K18" s="20"/>
    </row>
    <row r="19" spans="1:12" x14ac:dyDescent="0.25">
      <c r="A19" s="23"/>
      <c r="B19" s="205"/>
      <c r="C19" s="205"/>
      <c r="D19" s="204"/>
      <c r="E19" s="109" t="s">
        <v>75</v>
      </c>
      <c r="F19" s="110">
        <f>F17</f>
        <v>23726.512200000001</v>
      </c>
      <c r="G19" s="110">
        <f>F19+G17</f>
        <v>370726.75312500005</v>
      </c>
      <c r="H19" s="110">
        <f>G19+H17</f>
        <v>520318.25</v>
      </c>
      <c r="I19" s="111"/>
      <c r="J19" s="111"/>
      <c r="K19" s="20"/>
      <c r="L19" s="7"/>
    </row>
    <row r="20" spans="1:12" x14ac:dyDescent="0.25">
      <c r="A20" s="23"/>
      <c r="B20" s="17"/>
      <c r="C20" s="17"/>
      <c r="D20" s="17"/>
      <c r="E20" s="17"/>
      <c r="F20" s="17"/>
      <c r="G20" s="17"/>
      <c r="H20" s="17"/>
      <c r="I20" s="17"/>
      <c r="J20" s="17"/>
      <c r="K20" s="20"/>
    </row>
    <row r="21" spans="1:12" ht="59.25" customHeight="1" x14ac:dyDescent="0.25">
      <c r="A21" s="23"/>
      <c r="B21" s="197" t="str">
        <f>ORÇAMENTO!B38</f>
        <v>SÃO JOÃO DA LAGOA</v>
      </c>
      <c r="C21" s="197"/>
      <c r="D21" s="17"/>
      <c r="E21" s="17"/>
      <c r="F21" s="207"/>
      <c r="G21" s="207"/>
      <c r="H21" s="207"/>
      <c r="I21" s="207"/>
      <c r="J21" s="17"/>
      <c r="K21" s="20"/>
    </row>
    <row r="22" spans="1:12" x14ac:dyDescent="0.25">
      <c r="A22" s="23"/>
      <c r="B22" s="62" t="s">
        <v>25</v>
      </c>
      <c r="C22" s="17"/>
      <c r="D22" s="17"/>
      <c r="E22" s="17"/>
      <c r="F22" s="206" t="s">
        <v>27</v>
      </c>
      <c r="G22" s="206"/>
      <c r="H22" s="206"/>
      <c r="I22" s="206"/>
      <c r="J22" s="17"/>
      <c r="K22" s="20"/>
    </row>
    <row r="23" spans="1:12" x14ac:dyDescent="0.25">
      <c r="A23" s="23"/>
      <c r="B23" s="17"/>
      <c r="C23" s="17"/>
      <c r="D23" s="17"/>
      <c r="E23" s="17"/>
      <c r="F23" s="15" t="s">
        <v>28</v>
      </c>
      <c r="G23" s="193" t="str">
        <f>ORÇAMENTO!G40</f>
        <v>LEONARDO PETERSON AMARAL LIMA</v>
      </c>
      <c r="H23" s="193"/>
      <c r="I23" s="193"/>
      <c r="J23" s="119"/>
      <c r="K23" s="20"/>
    </row>
    <row r="24" spans="1:12" x14ac:dyDescent="0.25">
      <c r="A24" s="23"/>
      <c r="B24" s="156" t="str">
        <f>ORÇAMENTO!B41</f>
        <v>segunda-feira, 10 de Abril de 2026</v>
      </c>
      <c r="C24" s="156"/>
      <c r="D24" s="17"/>
      <c r="E24" s="17"/>
      <c r="F24" s="15" t="s">
        <v>29</v>
      </c>
      <c r="G24" s="193" t="str">
        <f>ORÇAMENTO!G41</f>
        <v>331.073/D</v>
      </c>
      <c r="H24" s="193"/>
      <c r="I24" s="193"/>
      <c r="J24" s="119"/>
      <c r="K24" s="20"/>
    </row>
    <row r="25" spans="1:12" x14ac:dyDescent="0.25">
      <c r="A25" s="23"/>
      <c r="B25" s="64" t="s">
        <v>26</v>
      </c>
      <c r="C25" s="65"/>
      <c r="D25" s="17"/>
      <c r="E25" s="17"/>
      <c r="F25" s="15" t="s">
        <v>30</v>
      </c>
      <c r="G25" s="193" t="str">
        <f>ORÇAMENTO!G42</f>
        <v>MG20264928207</v>
      </c>
      <c r="H25" s="193"/>
      <c r="I25" s="193"/>
      <c r="J25" s="119"/>
      <c r="K25" s="20"/>
    </row>
    <row r="26" spans="1:12" ht="4.5" customHeight="1" x14ac:dyDescent="0.25">
      <c r="A26" s="24"/>
      <c r="B26" s="21"/>
      <c r="C26" s="21"/>
      <c r="D26" s="21"/>
      <c r="E26" s="21"/>
      <c r="F26" s="21"/>
      <c r="G26" s="21"/>
      <c r="H26" s="21"/>
      <c r="I26" s="21"/>
      <c r="J26" s="21"/>
      <c r="K26" s="22"/>
    </row>
  </sheetData>
  <mergeCells count="20">
    <mergeCell ref="B15:J15"/>
    <mergeCell ref="B2:J2"/>
    <mergeCell ref="D4:J4"/>
    <mergeCell ref="D5:J5"/>
    <mergeCell ref="B7:B8"/>
    <mergeCell ref="C7:C8"/>
    <mergeCell ref="D7:D8"/>
    <mergeCell ref="E7:E8"/>
    <mergeCell ref="B4:C4"/>
    <mergeCell ref="B5:C5"/>
    <mergeCell ref="D16:D17"/>
    <mergeCell ref="D18:D19"/>
    <mergeCell ref="B16:C19"/>
    <mergeCell ref="G25:I25"/>
    <mergeCell ref="B24:C24"/>
    <mergeCell ref="B21:C21"/>
    <mergeCell ref="F22:I22"/>
    <mergeCell ref="F21:I21"/>
    <mergeCell ref="G23:I23"/>
    <mergeCell ref="G24:I24"/>
  </mergeCells>
  <phoneticPr fontId="14" type="noConversion"/>
  <conditionalFormatting sqref="D14 B15:B16">
    <cfRule type="expression" dxfId="21" priority="11" stopIfTrue="1">
      <formula>$K8=2</formula>
    </cfRule>
    <cfRule type="expression" dxfId="20" priority="12" stopIfTrue="1">
      <formula>AND($K8=1,$Q8&lt;&gt;"")</formula>
    </cfRule>
  </conditionalFormatting>
  <conditionalFormatting sqref="F17:H17">
    <cfRule type="expression" dxfId="19" priority="2" stopIfTrue="1">
      <formula>OFFSET(F$33,0,-1)&gt;=1</formula>
    </cfRule>
  </conditionalFormatting>
  <conditionalFormatting sqref="F9:J14 F16:H16 I16:J19 F18:H18">
    <cfRule type="expression" dxfId="18" priority="14" stopIfTrue="1">
      <formula>F9&lt;&gt;0</formula>
    </cfRule>
  </conditionalFormatting>
  <conditionalFormatting sqref="G19:H19">
    <cfRule type="expression" dxfId="17" priority="1" stopIfTrue="1">
      <formula>OFFSET(G$33,0,-1)&gt;=1</formula>
    </cfRule>
  </conditionalFormatting>
  <dataValidations count="3">
    <dataValidation type="date" operator="greaterThan" allowBlank="1" showInputMessage="1" showErrorMessage="1" errorTitle="Erro" error="Digite somente datas." sqref="F8:J8" xr:uid="{A48D05DD-1223-484E-9C12-F6657675C469}">
      <formula1>36526</formula1>
    </dataValidation>
    <dataValidation type="whole" operator="greaterThan" allowBlank="1" showErrorMessage="1" sqref="F7" xr:uid="{1D3363F3-FF24-425A-95A7-3C8C8FF7A437}">
      <formula1>0</formula1>
      <formula2>0</formula2>
    </dataValidation>
    <dataValidation allowBlank="1" showInputMessage="1" showErrorMessage="1" prompt="Preencha na célula de baixo. Se o acompanhamento for PLE, preencha no botão PREENCHIMENTO POR EVENTOS, acima." sqref="I19:J19 I17 F16:I16 F18:J18 F9:J14 J16:J17" xr:uid="{AC027FE9-5468-47AD-A7EB-8D4777257594}"/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49FE-9209-4521-B2A7-DDE425C25950}">
  <dimension ref="A1:AF37"/>
  <sheetViews>
    <sheetView topLeftCell="A13" zoomScale="70" zoomScaleNormal="70" workbookViewId="0">
      <selection activeCell="P26" sqref="P26"/>
    </sheetView>
  </sheetViews>
  <sheetFormatPr defaultRowHeight="15" x14ac:dyDescent="0.25"/>
  <cols>
    <col min="1" max="1" width="1.85546875" style="85" customWidth="1"/>
    <col min="2" max="3" width="9.140625" style="84"/>
    <col min="4" max="4" width="67.7109375" style="84" customWidth="1"/>
    <col min="5" max="5" width="10.7109375" style="84" customWidth="1"/>
    <col min="6" max="6" width="11.5703125" style="84" customWidth="1"/>
    <col min="7" max="7" width="33.85546875" style="84" customWidth="1"/>
    <col min="8" max="8" width="17.140625" style="84" customWidth="1"/>
    <col min="9" max="11" width="10.7109375" style="84" customWidth="1"/>
    <col min="12" max="13" width="2.140625" style="84" customWidth="1"/>
    <col min="14" max="14" width="16.5703125" style="84" customWidth="1"/>
    <col min="15" max="15" width="9.140625" style="84"/>
    <col min="16" max="16" width="15.42578125" style="84" customWidth="1"/>
    <col min="17" max="17" width="9.140625" style="84"/>
    <col min="18" max="18" width="16.7109375" style="84" customWidth="1"/>
    <col min="19" max="19" width="9.140625" style="84"/>
    <col min="20" max="21" width="11.5703125" style="84" bestFit="1" customWidth="1"/>
    <col min="22" max="22" width="10.5703125" style="84" bestFit="1" customWidth="1"/>
    <col min="23" max="16384" width="9.140625" style="84"/>
  </cols>
  <sheetData>
    <row r="1" spans="1:22" x14ac:dyDescent="0.25">
      <c r="A1" s="93"/>
      <c r="B1" s="92"/>
      <c r="C1" s="92"/>
      <c r="D1" s="92"/>
      <c r="E1" s="92"/>
      <c r="F1" s="92"/>
      <c r="G1" s="92"/>
      <c r="H1" s="92"/>
      <c r="I1" s="92"/>
      <c r="J1" s="92"/>
      <c r="K1" s="92"/>
      <c r="L1" s="95"/>
      <c r="M1" s="85"/>
    </row>
    <row r="2" spans="1:22" ht="15.75" x14ac:dyDescent="0.25">
      <c r="A2" s="94"/>
      <c r="B2" s="188" t="s">
        <v>66</v>
      </c>
      <c r="C2" s="188"/>
      <c r="D2" s="188"/>
      <c r="E2" s="188"/>
      <c r="F2" s="188"/>
      <c r="G2" s="188"/>
      <c r="H2" s="188"/>
      <c r="I2" s="188"/>
      <c r="J2" s="188"/>
      <c r="K2" s="188"/>
      <c r="L2" s="96"/>
      <c r="M2" s="85"/>
    </row>
    <row r="3" spans="1:22" ht="15.75" x14ac:dyDescent="0.25">
      <c r="A3" s="94"/>
      <c r="B3" s="188" t="s">
        <v>103</v>
      </c>
      <c r="C3" s="188"/>
      <c r="D3" s="188"/>
      <c r="E3" s="188"/>
      <c r="F3" s="188"/>
      <c r="G3" s="188"/>
      <c r="H3" s="188"/>
      <c r="I3" s="188"/>
      <c r="J3" s="188"/>
      <c r="K3" s="188"/>
      <c r="L3" s="96"/>
      <c r="M3" s="85"/>
    </row>
    <row r="4" spans="1:22" x14ac:dyDescent="0.25">
      <c r="A4" s="94"/>
      <c r="B4" s="85"/>
      <c r="C4" s="85"/>
      <c r="D4" s="85"/>
      <c r="E4" s="85"/>
      <c r="F4" s="85"/>
      <c r="G4" s="85"/>
      <c r="H4" s="85"/>
      <c r="I4" s="85"/>
      <c r="J4" s="85"/>
      <c r="K4" s="85"/>
      <c r="L4" s="96"/>
      <c r="M4" s="85"/>
    </row>
    <row r="5" spans="1:22" x14ac:dyDescent="0.25">
      <c r="A5" s="94"/>
      <c r="B5" s="209" t="s">
        <v>2</v>
      </c>
      <c r="C5" s="210"/>
      <c r="D5" s="210"/>
      <c r="E5" s="209" t="s">
        <v>42</v>
      </c>
      <c r="F5" s="210"/>
      <c r="G5" s="210"/>
      <c r="H5" s="210"/>
      <c r="I5" s="210"/>
      <c r="J5" s="210"/>
      <c r="K5" s="210"/>
      <c r="L5" s="96"/>
      <c r="M5" s="85"/>
    </row>
    <row r="6" spans="1:22" x14ac:dyDescent="0.25">
      <c r="A6" s="94"/>
      <c r="B6" s="219" t="str">
        <f>ORÇAMENTO!B5</f>
        <v>PREFEITURA MUNICIPAL DE SÃO JOÃO DA LAGOA</v>
      </c>
      <c r="C6" s="224"/>
      <c r="D6" s="224"/>
      <c r="E6" s="212" t="str">
        <f>CRONOGRAMA!D5</f>
        <v>PAVIMENTAÇÃO ASFÁLTICA EM CBUQ NA AVENIDA BENEDITO PEREIRA LIMA E PARQUE DE VAQUEJADA PORTAL DA LAGOA, ZONA URBANA DO MUNICÍPIO DE SÃO JOÃO DA LAGOA/MG</v>
      </c>
      <c r="F6" s="213"/>
      <c r="G6" s="213"/>
      <c r="H6" s="213"/>
      <c r="I6" s="213"/>
      <c r="J6" s="213"/>
      <c r="K6" s="213"/>
      <c r="L6" s="96"/>
      <c r="M6" s="85"/>
    </row>
    <row r="7" spans="1:22" x14ac:dyDescent="0.25">
      <c r="A7" s="94"/>
      <c r="B7" s="85"/>
      <c r="C7" s="85"/>
      <c r="D7" s="86"/>
      <c r="E7" s="86"/>
      <c r="F7" s="86"/>
      <c r="G7" s="86"/>
      <c r="H7" s="87"/>
      <c r="I7" s="87"/>
      <c r="J7" s="87"/>
      <c r="K7" s="87"/>
      <c r="L7" s="96"/>
      <c r="M7" s="85"/>
    </row>
    <row r="8" spans="1:22" ht="93.75" customHeight="1" x14ac:dyDescent="0.25">
      <c r="A8" s="94"/>
      <c r="B8" s="85"/>
      <c r="C8" s="85"/>
      <c r="D8" s="85"/>
      <c r="E8" s="85"/>
      <c r="F8" s="85"/>
      <c r="G8" s="85"/>
      <c r="H8" s="121" t="s">
        <v>64</v>
      </c>
      <c r="I8" s="113" t="s">
        <v>102</v>
      </c>
      <c r="J8" s="113" t="s">
        <v>174</v>
      </c>
      <c r="K8" s="113" t="s">
        <v>175</v>
      </c>
      <c r="L8" s="96"/>
      <c r="M8" s="85"/>
    </row>
    <row r="9" spans="1:22" ht="25.5" x14ac:dyDescent="0.25">
      <c r="A9" s="94"/>
      <c r="B9" s="31" t="s">
        <v>46</v>
      </c>
      <c r="C9" s="70" t="s">
        <v>47</v>
      </c>
      <c r="D9" s="31" t="s">
        <v>50</v>
      </c>
      <c r="E9" s="32" t="s">
        <v>51</v>
      </c>
      <c r="F9" s="31" t="s">
        <v>52</v>
      </c>
      <c r="G9" s="31" t="s">
        <v>61</v>
      </c>
      <c r="H9" s="31" t="s">
        <v>62</v>
      </c>
      <c r="I9" s="31">
        <v>1</v>
      </c>
      <c r="J9" s="31">
        <v>2</v>
      </c>
      <c r="K9" s="31">
        <v>3</v>
      </c>
      <c r="L9" s="96"/>
      <c r="M9" s="85"/>
    </row>
    <row r="10" spans="1:22" ht="38.25" x14ac:dyDescent="0.25">
      <c r="A10" s="94"/>
      <c r="B10" s="76" t="str">
        <f>IF(TIPOORCAMENTO="LICITADO","CTEF","LOTE")</f>
        <v>LOTE</v>
      </c>
      <c r="C10" s="221" t="str">
        <f>CRONOGRAMA!D5</f>
        <v>PAVIMENTAÇÃO ASFÁLTICA EM CBUQ NA AVENIDA BENEDITO PEREIRA LIMA E PARQUE DE VAQUEJADA PORTAL DA LAGOA, ZONA URBANA DO MUNICÍPIO DE SÃO JOÃO DA LAGOA/MG</v>
      </c>
      <c r="D10" s="222"/>
      <c r="E10" s="222"/>
      <c r="F10" s="222"/>
      <c r="G10" s="223"/>
      <c r="H10" s="122" t="s">
        <v>63</v>
      </c>
      <c r="I10" s="77">
        <f>SUM(I12+I14+I17+I22+I25)</f>
        <v>1481.25</v>
      </c>
      <c r="J10" s="77">
        <f t="shared" ref="J10:K10" si="0">SUM(J12+J14+J17+J22+J25)</f>
        <v>363262.93</v>
      </c>
      <c r="K10" s="77">
        <f t="shared" si="0"/>
        <v>155574.09</v>
      </c>
      <c r="L10" s="96"/>
      <c r="M10" s="85"/>
      <c r="N10" s="139">
        <f>SUM(I10:K10)</f>
        <v>520318.27</v>
      </c>
      <c r="P10" s="129">
        <f>SUM(I10:K10)</f>
        <v>520318.27</v>
      </c>
      <c r="R10" s="130">
        <f>SUM(R12+R14+R17+R22+R25)</f>
        <v>520318.27</v>
      </c>
    </row>
    <row r="11" spans="1:22" ht="30" x14ac:dyDescent="0.25">
      <c r="A11" s="94"/>
      <c r="B11" s="88" t="s">
        <v>55</v>
      </c>
      <c r="C11" s="78">
        <v>1</v>
      </c>
      <c r="D11" s="89" t="str">
        <f>ORÇAMENTO!E12</f>
        <v>PAVIMENTAÇÃO DO PARQUE DE VAQUEJADA PORTAL DA LAGOA E AVENIDA BENEDITO PEREIRA LIMA</v>
      </c>
      <c r="E11" s="79" t="str">
        <f ca="1">IF($E11&lt;&gt;"Serviço","",OFFSET([1]ORÇAMENTO!P$15,ROW(E11)-ROW(E$10),0))</f>
        <v/>
      </c>
      <c r="F11" s="49">
        <f ca="1">IF($E11&lt;&gt;"Serviço",0,IF(ACOMPANHAMENTO="BM",ROUND(OFFSET([1]ORÇAMENTO!AG$15,ROW(F11)-ROW(F$10),0),15-13*[1]ORÇAMENTO!$AF$7),SUMPRODUCT((#REF!&lt;&gt;"")*ROUND($L11:$Q11,15-13*[1]ORÇAMENTO!$AF$7))))</f>
        <v>0</v>
      </c>
      <c r="G11" s="80"/>
      <c r="H11" s="81" t="str">
        <f ca="1">IF($E11&lt;&gt;"Serviço","",IF(AUTOEVENTO="Manual",IF(#REF!=0,"&lt;-- defina o número do agrupador",OFFSET([1]EVENTOS!$D$14,#REF!,0)),OFFSET($G$10,#REF!,0)))</f>
        <v/>
      </c>
      <c r="I11" s="82"/>
      <c r="J11" s="82"/>
      <c r="K11" s="82"/>
      <c r="L11" s="96"/>
      <c r="M11" s="85"/>
    </row>
    <row r="12" spans="1:22" x14ac:dyDescent="0.25">
      <c r="A12" s="94"/>
      <c r="B12" s="83" t="s">
        <v>56</v>
      </c>
      <c r="C12" s="78" t="s">
        <v>80</v>
      </c>
      <c r="D12" s="89" t="s">
        <v>57</v>
      </c>
      <c r="E12" s="79" t="str">
        <f ca="1">IF($E12&lt;&gt;"Serviço","",OFFSET([1]ORÇAMENTO!P$15,ROW(E12)-ROW(E$10),0))</f>
        <v/>
      </c>
      <c r="F12" s="49">
        <f ca="1">IF($E12&lt;&gt;"Serviço",0,IF(ACOMPANHAMENTO="BM",ROUND(OFFSET([1]ORÇAMENTO!AG$15,ROW(F12)-ROW(F$10),0),15-13*[1]ORÇAMENTO!$AF$7),SUMPRODUCT((#REF!&lt;&gt;"")*ROUND($L12:$Q12,15-13*[1]ORÇAMENTO!$AF$7))))</f>
        <v>0</v>
      </c>
      <c r="G12" s="80"/>
      <c r="H12" s="81" t="str">
        <f ca="1">IF($E12&lt;&gt;"Serviço","",IF(AUTOEVENTO="Manual",IF(#REF!=0,"&lt;-- defina o número do agrupador",OFFSET([1]EVENTOS!$D$14,#REF!,0)),OFFSET($G$10,#REF!,0)))</f>
        <v/>
      </c>
      <c r="I12" s="82">
        <f>ROUND(((I13*$P$13)),2)</f>
        <v>1481.25</v>
      </c>
      <c r="J12" s="82">
        <f t="shared" ref="J12:K12" si="1">ROUND(((J13*$P$13)),2)</f>
        <v>0</v>
      </c>
      <c r="K12" s="82">
        <f t="shared" si="1"/>
        <v>0</v>
      </c>
      <c r="L12" s="96"/>
      <c r="M12" s="85"/>
      <c r="N12" s="139">
        <f>SUM(I12:K12)</f>
        <v>1481.25</v>
      </c>
      <c r="R12" s="139">
        <f>SUM(I12:K12)</f>
        <v>1481.25</v>
      </c>
    </row>
    <row r="13" spans="1:22" ht="75" x14ac:dyDescent="0.25">
      <c r="A13" s="94"/>
      <c r="B13" s="90" t="s">
        <v>55</v>
      </c>
      <c r="C13" s="71" t="s">
        <v>81</v>
      </c>
      <c r="D13" s="116" t="s">
        <v>65</v>
      </c>
      <c r="E13" s="72" t="str">
        <f ca="1">IF($E13&lt;&gt;"Serviço","",OFFSET([1]ORÇAMENTO!P$15,ROW(E13)-ROW(E$10),0))</f>
        <v>un</v>
      </c>
      <c r="F13" s="56">
        <f>SUM(I13:K13)</f>
        <v>1</v>
      </c>
      <c r="G13" s="73" t="s">
        <v>151</v>
      </c>
      <c r="H13" s="74" t="str">
        <f>D12</f>
        <v xml:space="preserve">Serviços Iniciais </v>
      </c>
      <c r="I13" s="75">
        <v>1</v>
      </c>
      <c r="J13" s="75"/>
      <c r="K13" s="75"/>
      <c r="L13" s="96"/>
      <c r="M13" s="85"/>
      <c r="P13" s="84">
        <f>ORÇAMENTO!I14</f>
        <v>1481.25</v>
      </c>
      <c r="R13" s="84">
        <f>ROUND(F13*P13,2)</f>
        <v>1481.25</v>
      </c>
    </row>
    <row r="14" spans="1:22" x14ac:dyDescent="0.25">
      <c r="A14" s="94"/>
      <c r="B14" s="83" t="s">
        <v>56</v>
      </c>
      <c r="C14" s="78" t="s">
        <v>82</v>
      </c>
      <c r="D14" s="89" t="str">
        <f>ORÇAMENTO!E15</f>
        <v>BASE</v>
      </c>
      <c r="E14" s="79" t="str">
        <f ca="1">IF($E14&lt;&gt;"Serviço","",OFFSET([1]ORÇAMENTO!P$15,ROW(E14)-ROW(E$10),0))</f>
        <v/>
      </c>
      <c r="F14" s="49">
        <v>0</v>
      </c>
      <c r="G14" s="80"/>
      <c r="H14" s="81" t="str">
        <f ca="1">IF($E14&lt;&gt;"Serviço","",IF(AUTOEVENTO="Manual",IF(#REF!=0,"&lt;-- defina o número do agrupador",OFFSET([1]EVENTOS!$D$14,#REF!,0)),OFFSET($G$10,#REF!,0)))</f>
        <v/>
      </c>
      <c r="I14" s="82">
        <f>ROUND(((I15*$P$15)+(I16*$P$16)),2)</f>
        <v>0</v>
      </c>
      <c r="J14" s="82">
        <f>ROUND(((J15*$P$15)+(J16*$P$16)),2)</f>
        <v>16247.59</v>
      </c>
      <c r="K14" s="82">
        <f>ROUND(((K15*$P$15)+(K16*$P$16)),2)</f>
        <v>6001.35</v>
      </c>
      <c r="L14" s="96"/>
      <c r="M14" s="85"/>
      <c r="N14" s="139">
        <f>SUM(I14:K14)</f>
        <v>22248.940000000002</v>
      </c>
      <c r="R14" s="139">
        <f>SUM(I14:K14)</f>
        <v>22248.940000000002</v>
      </c>
      <c r="T14" s="139"/>
      <c r="U14" s="139"/>
      <c r="V14" s="139"/>
    </row>
    <row r="15" spans="1:22" ht="45" x14ac:dyDescent="0.25">
      <c r="A15" s="94"/>
      <c r="B15" s="90" t="s">
        <v>55</v>
      </c>
      <c r="C15" s="71" t="s">
        <v>84</v>
      </c>
      <c r="D15" s="91" t="str">
        <f>ORÇAMENTO!E16</f>
        <v>LOCAÇÃO TOPOGRÁFICA DE VINTE UM (21) ATÉ CINQUENTA (50) PONTOS REFERENCIAIS, INCLUSIVE ESTACA (PIQUETE) DE MARCAÇÃO</v>
      </c>
      <c r="E15" s="72" t="str">
        <f>ORÇAMENTO!F16</f>
        <v>UNI</v>
      </c>
      <c r="F15" s="56">
        <f>SUM(I15:K15)</f>
        <v>40</v>
      </c>
      <c r="G15" s="73" t="s">
        <v>145</v>
      </c>
      <c r="H15" s="74" t="str">
        <f>D14</f>
        <v>BASE</v>
      </c>
      <c r="I15" s="123">
        <v>0</v>
      </c>
      <c r="J15" s="123">
        <v>20</v>
      </c>
      <c r="K15" s="123">
        <v>20</v>
      </c>
      <c r="L15" s="96"/>
      <c r="M15" s="85"/>
      <c r="P15" s="84">
        <f>ORÇAMENTO!I16</f>
        <v>88.85</v>
      </c>
      <c r="R15" s="84">
        <f>ROUND(F15*P15,2)</f>
        <v>3554</v>
      </c>
    </row>
    <row r="16" spans="1:22" ht="45" x14ac:dyDescent="0.25">
      <c r="A16" s="94"/>
      <c r="B16" s="90" t="s">
        <v>55</v>
      </c>
      <c r="C16" s="71" t="s">
        <v>124</v>
      </c>
      <c r="D16" s="91" t="str">
        <f>ORÇAMENTO!E17</f>
        <v>REGULARIZAÇÃO E COMPACTAÇÃO DE SUBLEITO DE SOLO PREDOMINANTEMENTE ARGILOSO, PARA OBRAS DE CONSTRUÇÃO DE PAVIMENTOS. AF_09/2024</v>
      </c>
      <c r="E16" s="72" t="str">
        <f>ORÇAMENTO!F17</f>
        <v>M²</v>
      </c>
      <c r="F16" s="56">
        <f>SUM(I16:K16)</f>
        <v>5066.38</v>
      </c>
      <c r="G16" s="73" t="s">
        <v>146</v>
      </c>
      <c r="H16" s="74" t="str">
        <f>D14</f>
        <v>BASE</v>
      </c>
      <c r="I16" s="123">
        <v>0</v>
      </c>
      <c r="J16" s="123">
        <v>3921.57</v>
      </c>
      <c r="K16" s="123">
        <v>1144.81</v>
      </c>
      <c r="L16" s="96"/>
      <c r="M16" s="85"/>
      <c r="P16" s="84">
        <f>ORÇAMENTO!I17</f>
        <v>3.69</v>
      </c>
    </row>
    <row r="17" spans="1:32" x14ac:dyDescent="0.25">
      <c r="A17" s="94"/>
      <c r="B17" s="83" t="s">
        <v>56</v>
      </c>
      <c r="C17" s="78" t="str">
        <f>ORÇAMENTO!B18</f>
        <v>1.3</v>
      </c>
      <c r="D17" s="89" t="str">
        <f>ORÇAMENTO!E18</f>
        <v>PINTURA DE LIGAÇÃO E IMPRIMAÇÃO</v>
      </c>
      <c r="E17" s="79" t="str">
        <f ca="1">IF($E17&lt;&gt;"Serviço","",OFFSET([1]ORÇAMENTO!P$15,ROW(E17)-ROW(E$10),0))</f>
        <v/>
      </c>
      <c r="F17" s="49">
        <v>0</v>
      </c>
      <c r="G17" s="80"/>
      <c r="H17" s="81" t="str">
        <f ca="1">IF($E17&lt;&gt;"Serviço","",IF(AUTOEVENTO="Manual",IF(#REF!=0,"&lt;-- defina o número do agrupador",OFFSET([1]EVENTOS!$D$14,#REF!,0)),OFFSET($G$10,#REF!,0)))</f>
        <v/>
      </c>
      <c r="I17" s="82">
        <f>ROUND(((I18*$P$18)+(I19*$P$19)+(I20*$P$20)+(I21*$P$21)),2)</f>
        <v>0</v>
      </c>
      <c r="J17" s="82">
        <f>ROUND(((J18*$P$18)+(J19*$P$19)+(J20*$P$20)+(J21*$P$21)),2)</f>
        <v>35851.879999999997</v>
      </c>
      <c r="K17" s="82">
        <f>ROUND(((K18*$P$18)+(K19*$P$19)+(K20*$P$20)+(K21*$P$21)),2)</f>
        <v>10466.11</v>
      </c>
      <c r="L17" s="96"/>
      <c r="M17" s="85"/>
      <c r="N17" s="139">
        <f>SUM(I17:K17)</f>
        <v>46317.99</v>
      </c>
      <c r="P17" s="84">
        <f>ORÇAMENTO!I18</f>
        <v>0</v>
      </c>
      <c r="R17" s="139">
        <f>SUM(I17:K17)</f>
        <v>46317.99</v>
      </c>
      <c r="T17" s="139"/>
      <c r="U17" s="84">
        <f>J17/R17</f>
        <v>0.77403790622175095</v>
      </c>
      <c r="V17" s="84">
        <f>K17/R17</f>
        <v>0.22596209377824902</v>
      </c>
    </row>
    <row r="18" spans="1:32" ht="38.25" x14ac:dyDescent="0.25">
      <c r="A18" s="94"/>
      <c r="B18" s="90" t="s">
        <v>55</v>
      </c>
      <c r="C18" s="71" t="str">
        <f>ORÇAMENTO!B19</f>
        <v>1.3.1</v>
      </c>
      <c r="D18" s="91" t="str">
        <f>ORÇAMENTO!E19</f>
        <v>IMPRIMAÇÃO COM EMULSÃO ASFÁLTICA (EAI)</v>
      </c>
      <c r="E18" s="72" t="str">
        <f>ORÇAMENTO!F19</f>
        <v>M²</v>
      </c>
      <c r="F18" s="56">
        <f t="shared" ref="F18:F27" si="2">SUM(I18:K18)</f>
        <v>5066.38</v>
      </c>
      <c r="G18" s="73" t="s">
        <v>146</v>
      </c>
      <c r="H18" s="74" t="str">
        <f t="shared" ref="H18:H21" si="3">$D$17</f>
        <v>PINTURA DE LIGAÇÃO E IMPRIMAÇÃO</v>
      </c>
      <c r="I18" s="123">
        <v>0</v>
      </c>
      <c r="J18" s="123">
        <v>3921.57</v>
      </c>
      <c r="K18" s="123">
        <v>1144.81</v>
      </c>
      <c r="L18" s="96"/>
      <c r="M18" s="85"/>
      <c r="P18" s="84">
        <f>ORÇAMENTO!I19</f>
        <v>4.53</v>
      </c>
      <c r="R18" s="84">
        <f>ROUND(F18*P18,2)</f>
        <v>22950.7</v>
      </c>
    </row>
    <row r="19" spans="1:32" ht="75" x14ac:dyDescent="0.25">
      <c r="A19" s="94"/>
      <c r="B19" s="90" t="s">
        <v>55</v>
      </c>
      <c r="C19" s="71" t="str">
        <f>ORÇAMENTO!B20</f>
        <v>1.3.2</v>
      </c>
      <c r="D19" s="91" t="str">
        <f>ORÇAMENTO!E20</f>
        <v>TRANSPORTE COM CAMINHÃO TANQUE DE TRANSPORTE DE MATERIAL ASFÁLTICO DE 30000 L, EM VIA URBANAPAVIMENTADA, ADICIONAL PARA DMT EXCEDENTE A 30 KM (UNIDADE: TXKM). AF_07/2020 (EMULSÃO ASFÁLTICA EAI PARA SERVIÇO DE IMPRIMAÇÃO - REFINARIA&gt;OBRA  - DMT EXCEDENTE 30,00KM - DMT TOTAL ATÉ 448,00KM)</v>
      </c>
      <c r="E19" s="72" t="str">
        <f>ORÇAMENTO!F20</f>
        <v>TxKM</v>
      </c>
      <c r="F19" s="56">
        <f t="shared" si="2"/>
        <v>2723.6899999999996</v>
      </c>
      <c r="G19" s="73" t="s">
        <v>149</v>
      </c>
      <c r="H19" s="74" t="str">
        <f t="shared" si="3"/>
        <v>PINTURA DE LIGAÇÃO E IMPRIMAÇÃO</v>
      </c>
      <c r="I19" s="123">
        <v>0</v>
      </c>
      <c r="J19" s="123">
        <f>ROUND(J18*0.0012*448,2)</f>
        <v>2108.2399999999998</v>
      </c>
      <c r="K19" s="123">
        <f>ROUND(K18*0.0012*448,2)</f>
        <v>615.45000000000005</v>
      </c>
      <c r="L19" s="96"/>
      <c r="M19" s="85"/>
      <c r="P19" s="84">
        <f>ORÇAMENTO!I20</f>
        <v>0.72</v>
      </c>
      <c r="R19" s="84">
        <f>ROUND(F19*P19,2)</f>
        <v>1961.06</v>
      </c>
      <c r="AF19" s="84" t="s">
        <v>142</v>
      </c>
    </row>
    <row r="20" spans="1:32" ht="38.25" x14ac:dyDescent="0.25">
      <c r="A20" s="94"/>
      <c r="B20" s="90" t="s">
        <v>55</v>
      </c>
      <c r="C20" s="71" t="str">
        <f>ORÇAMENTO!B21</f>
        <v>1.3.3</v>
      </c>
      <c r="D20" s="91" t="str">
        <f>ORÇAMENTO!E21</f>
        <v>PINTURA DE LIGAÇÃO COM EMULSÃO ASFÁLTICA RR-1C</v>
      </c>
      <c r="E20" s="72" t="str">
        <f>ORÇAMENTO!F21</f>
        <v>M²</v>
      </c>
      <c r="F20" s="56">
        <f t="shared" si="2"/>
        <v>5066.38</v>
      </c>
      <c r="G20" s="73" t="s">
        <v>146</v>
      </c>
      <c r="H20" s="74" t="str">
        <f t="shared" si="3"/>
        <v>PINTURA DE LIGAÇÃO E IMPRIMAÇÃO</v>
      </c>
      <c r="I20" s="123">
        <v>0</v>
      </c>
      <c r="J20" s="123">
        <f>J18</f>
        <v>3921.57</v>
      </c>
      <c r="K20" s="123">
        <f>K18</f>
        <v>1144.81</v>
      </c>
      <c r="L20" s="96"/>
      <c r="M20" s="85"/>
      <c r="P20" s="84">
        <f>ORÇAMENTO!I21</f>
        <v>4.08</v>
      </c>
      <c r="R20" s="84">
        <f t="shared" ref="R20:R27" si="4">ROUND(F20*P20,2)</f>
        <v>20670.830000000002</v>
      </c>
    </row>
    <row r="21" spans="1:32" ht="75" x14ac:dyDescent="0.25">
      <c r="A21" s="94"/>
      <c r="B21" s="90" t="s">
        <v>55</v>
      </c>
      <c r="C21" s="71" t="str">
        <f>ORÇAMENTO!B22</f>
        <v>1.3.4</v>
      </c>
      <c r="D21" s="91" t="str">
        <f>ORÇAMENTO!E22</f>
        <v>TRANSPORTE COM CAMINHÃO TANQUE DE TRANSPORTE DE MATERIAL ASFÁLTICO DE 30000 L, EM VIA URBANAPAVIMENTADA, ADICIONAL PARA DMT EXCEDENTE A 30 KM (UNIDADE: TXKM). AF_07/2020 (EMULSÃO ASFÁLTICA RR-1C PARA SERVIÇO DE PINTURA DE LIGAÇÃO - REFINARIA&gt;OBRA  - DMT EXCEDENTE 30,00KM - DMT TOTAL ATÉ 448,00KM)</v>
      </c>
      <c r="E21" s="72" t="str">
        <f>ORÇAMENTO!F22</f>
        <v>TxKM</v>
      </c>
      <c r="F21" s="56">
        <f t="shared" si="2"/>
        <v>1021.38</v>
      </c>
      <c r="G21" s="73" t="s">
        <v>150</v>
      </c>
      <c r="H21" s="74" t="str">
        <f t="shared" si="3"/>
        <v>PINTURA DE LIGAÇÃO E IMPRIMAÇÃO</v>
      </c>
      <c r="I21" s="123">
        <v>0</v>
      </c>
      <c r="J21" s="123">
        <f>ROUND(J20*0.00045*448,2)</f>
        <v>790.59</v>
      </c>
      <c r="K21" s="123">
        <f>ROUND(K20*0.00045*448,2)</f>
        <v>230.79</v>
      </c>
      <c r="L21" s="96"/>
      <c r="M21" s="85"/>
      <c r="P21" s="84">
        <f>ORÇAMENTO!I22</f>
        <v>0.72</v>
      </c>
      <c r="R21" s="84">
        <f t="shared" si="4"/>
        <v>735.39</v>
      </c>
    </row>
    <row r="22" spans="1:32" x14ac:dyDescent="0.25">
      <c r="A22" s="94"/>
      <c r="B22" s="88" t="s">
        <v>55</v>
      </c>
      <c r="C22" s="78" t="str">
        <f>ORÇAMENTO!B23</f>
        <v>1.4</v>
      </c>
      <c r="D22" s="89" t="str">
        <f>ORÇAMENTO!E23</f>
        <v>REVESTIMENTO ASFÁLTICO - CBUQ</v>
      </c>
      <c r="E22" s="79"/>
      <c r="F22" s="49">
        <f t="shared" si="2"/>
        <v>392391.66000000003</v>
      </c>
      <c r="G22" s="80"/>
      <c r="H22" s="81"/>
      <c r="I22" s="82">
        <f t="shared" ref="I22:J22" si="5">ROUND(((I23*$P$23)+(I24*$P$24)),2)</f>
        <v>0</v>
      </c>
      <c r="J22" s="82">
        <f t="shared" si="5"/>
        <v>282457.65000000002</v>
      </c>
      <c r="K22" s="82">
        <f>ROUND(((K23*$P$23)+(K24*$P$24)),2)</f>
        <v>109934.01</v>
      </c>
      <c r="L22" s="96"/>
      <c r="M22" s="85"/>
      <c r="P22" s="84">
        <f>ORÇAMENTO!I23</f>
        <v>0</v>
      </c>
      <c r="R22" s="139">
        <f>SUM(I22:K22)</f>
        <v>392391.66000000003</v>
      </c>
      <c r="U22" s="84">
        <f>J22/R22</f>
        <v>0.71983601792148177</v>
      </c>
      <c r="V22" s="84">
        <f>K22/R22</f>
        <v>0.28016398207851817</v>
      </c>
    </row>
    <row r="23" spans="1:32" ht="60" x14ac:dyDescent="0.25">
      <c r="A23" s="94"/>
      <c r="B23" s="90" t="s">
        <v>55</v>
      </c>
      <c r="C23" s="71" t="str">
        <f>ORÇAMENTO!B24</f>
        <v>1.4.1</v>
      </c>
      <c r="D23" s="91" t="str">
        <f>ORÇAMENTO!E24</f>
        <v>EXECUÇÃO E APLICAÇÃO DE CONCRETO BETUMINOSO USINADO A QUENTE (CBUQ), MASSA COMERCIAL, INCLUINDO FORNECIMENTO E TRANSPORTE DOS AGREGADOS E MATERIAL BETUMINOSO, EXCLUSIVE TRANSPORTE DA MASSA ASFÁLTICA ATÉ A PISTA</v>
      </c>
      <c r="E23" s="72" t="str">
        <f>ORÇAMENTO!F24</f>
        <v>M³</v>
      </c>
      <c r="F23" s="56">
        <f t="shared" si="2"/>
        <v>163.44</v>
      </c>
      <c r="G23" s="73" t="s">
        <v>147</v>
      </c>
      <c r="H23" s="74" t="str">
        <f>D22</f>
        <v>REVESTIMENTO ASFÁLTICO - CBUQ</v>
      </c>
      <c r="I23" s="123">
        <v>0</v>
      </c>
      <c r="J23" s="123">
        <f>ROUND(J18*0.03,2)</f>
        <v>117.65</v>
      </c>
      <c r="K23" s="123">
        <f>ROUND(K18*0.04,2)</f>
        <v>45.79</v>
      </c>
      <c r="L23" s="96"/>
      <c r="M23" s="85"/>
      <c r="P23" s="84">
        <f>ORÇAMENTO!I24</f>
        <v>2307.39</v>
      </c>
      <c r="R23" s="84">
        <f t="shared" si="4"/>
        <v>377119.82</v>
      </c>
    </row>
    <row r="24" spans="1:32" ht="60" x14ac:dyDescent="0.25">
      <c r="A24" s="94"/>
      <c r="B24" s="90" t="s">
        <v>55</v>
      </c>
      <c r="C24" s="71" t="str">
        <f>ORÇAMENTO!B25</f>
        <v>1.4.2</v>
      </c>
      <c r="D24" s="91" t="str">
        <f>ORÇAMENTO!E25</f>
        <v>TRANSPORTE COM CAMINHÃO BASCULANTE DE 10 M³, EM VIA URBANA PAVIMENTADA, ADICIONAL PARA DMT EXCEDENTE A 30 KM (UNIDADE: M3XKM). AF_07/2020 (MASSA CBUQ - USINA&gt;OBRA - DMT EXCEDENTE 72,00KM)</v>
      </c>
      <c r="E24" s="72" t="str">
        <f>ORÇAMENTO!F25</f>
        <v>M³xKM</v>
      </c>
      <c r="F24" s="56">
        <f t="shared" si="2"/>
        <v>11931.12</v>
      </c>
      <c r="G24" s="73" t="s">
        <v>148</v>
      </c>
      <c r="H24" s="74" t="str">
        <f>D22</f>
        <v>REVESTIMENTO ASFÁLTICO - CBUQ</v>
      </c>
      <c r="I24" s="123">
        <v>0</v>
      </c>
      <c r="J24" s="123">
        <f>ROUND(J23*73,2)</f>
        <v>8588.4500000000007</v>
      </c>
      <c r="K24" s="123">
        <f>ROUND(K23*73,2)</f>
        <v>3342.67</v>
      </c>
      <c r="L24" s="96"/>
      <c r="M24" s="85"/>
      <c r="P24" s="84">
        <f>ORÇAMENTO!I25</f>
        <v>1.28</v>
      </c>
      <c r="R24" s="84">
        <f t="shared" si="4"/>
        <v>15271.83</v>
      </c>
    </row>
    <row r="25" spans="1:32" x14ac:dyDescent="0.25">
      <c r="A25" s="94"/>
      <c r="B25" s="88" t="s">
        <v>55</v>
      </c>
      <c r="C25" s="78" t="str">
        <f>ORÇAMENTO!B26</f>
        <v>1.5</v>
      </c>
      <c r="D25" s="89" t="str">
        <f>ORÇAMENTO!E26</f>
        <v>MEIO-FIO/DRENAGEM</v>
      </c>
      <c r="E25" s="79"/>
      <c r="F25" s="49">
        <f t="shared" si="2"/>
        <v>57878.43</v>
      </c>
      <c r="G25" s="80"/>
      <c r="H25" s="81"/>
      <c r="I25" s="82">
        <f>ROUND(((I26*$P$26)+(I27*$P$27)),2)</f>
        <v>0</v>
      </c>
      <c r="J25" s="82">
        <f>ROUND(((J26*$P$26)+(J27*$P$27)),2)</f>
        <v>28705.81</v>
      </c>
      <c r="K25" s="82">
        <f>ROUND(((K26*$P$26)+(K27*$P$27)),2)</f>
        <v>29172.62</v>
      </c>
      <c r="L25" s="96"/>
      <c r="M25" s="85"/>
      <c r="P25" s="84">
        <f>ORÇAMENTO!I26</f>
        <v>0</v>
      </c>
      <c r="R25" s="139">
        <f>SUM(I25:K25)</f>
        <v>57878.43</v>
      </c>
      <c r="U25" s="84">
        <f>J25/R25</f>
        <v>0.49596732323250647</v>
      </c>
      <c r="V25" s="84">
        <f>K25/R25</f>
        <v>0.50403267676749353</v>
      </c>
    </row>
    <row r="26" spans="1:32" ht="30" x14ac:dyDescent="0.25">
      <c r="A26" s="94"/>
      <c r="B26" s="90" t="s">
        <v>55</v>
      </c>
      <c r="C26" s="71" t="str">
        <f>ORÇAMENTO!B27</f>
        <v>1.5.1</v>
      </c>
      <c r="D26" s="91" t="str">
        <f>ORÇAMENTO!E27</f>
        <v>GUIA (MEIO-FIO) CONCRETO, MOLDADA IN LOCO EM TRECHO RETO COM EXTRUSORA, 15 CM BASE X 30 CM ALTURA. AF_01/2024</v>
      </c>
      <c r="E26" s="72" t="str">
        <f>ORÇAMENTO!F27</f>
        <v>M</v>
      </c>
      <c r="F26" s="56">
        <f t="shared" si="2"/>
        <v>444.5</v>
      </c>
      <c r="G26" s="73" t="s">
        <v>143</v>
      </c>
      <c r="H26" s="74" t="str">
        <f>D25</f>
        <v>MEIO-FIO/DRENAGEM</v>
      </c>
      <c r="I26" s="123">
        <v>0</v>
      </c>
      <c r="J26" s="123">
        <v>444.5</v>
      </c>
      <c r="K26" s="123">
        <v>0</v>
      </c>
      <c r="L26" s="96"/>
      <c r="M26" s="85"/>
      <c r="P26" s="84">
        <f>ORÇAMENTO!I27</f>
        <v>64.58</v>
      </c>
      <c r="R26" s="84">
        <f>ROUND(F26*P26,2)</f>
        <v>28705.81</v>
      </c>
    </row>
    <row r="27" spans="1:32" ht="45" x14ac:dyDescent="0.25">
      <c r="A27" s="94"/>
      <c r="B27" s="90" t="s">
        <v>55</v>
      </c>
      <c r="C27" s="71" t="str">
        <f>ORÇAMENTO!B28</f>
        <v>1.5.2</v>
      </c>
      <c r="D27" s="91" t="str">
        <f>ORÇAMENTO!E28</f>
        <v>GUIA (MEIO-FIO) E SARJETA CONJUGADOS DE CONCRETO, MOLDADA IN LOCO EM TRECHO RETO COM EXTRUSORA, 45 CM BASE (15 CM BASE DA GUIA + 30 CM BASE DA SARJETA) X 22 CM ALTURA. AF_01/2024</v>
      </c>
      <c r="E27" s="72" t="str">
        <f>ORÇAMENTO!F28</f>
        <v>M</v>
      </c>
      <c r="F27" s="56">
        <f t="shared" si="2"/>
        <v>373.96000000000004</v>
      </c>
      <c r="G27" s="73" t="s">
        <v>144</v>
      </c>
      <c r="H27" s="74" t="str">
        <f>D25</f>
        <v>MEIO-FIO/DRENAGEM</v>
      </c>
      <c r="I27" s="123">
        <v>0</v>
      </c>
      <c r="J27" s="123">
        <v>0</v>
      </c>
      <c r="K27" s="75">
        <v>373.96000000000004</v>
      </c>
      <c r="L27" s="96"/>
      <c r="M27" s="85"/>
      <c r="P27" s="84">
        <f>ORÇAMENTO!I28</f>
        <v>78.010000000000005</v>
      </c>
      <c r="R27" s="84">
        <f t="shared" si="4"/>
        <v>29172.62</v>
      </c>
    </row>
    <row r="28" spans="1:32" x14ac:dyDescent="0.25">
      <c r="A28" s="94"/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96"/>
      <c r="M28" s="85"/>
    </row>
    <row r="29" spans="1:32" x14ac:dyDescent="0.25">
      <c r="A29" s="94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96"/>
      <c r="M29" s="85"/>
    </row>
    <row r="30" spans="1:32" x14ac:dyDescent="0.25">
      <c r="A30" s="9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96"/>
      <c r="M30" s="85"/>
    </row>
    <row r="31" spans="1:32" x14ac:dyDescent="0.25">
      <c r="A31" s="94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96"/>
      <c r="M31" s="85"/>
    </row>
    <row r="32" spans="1:32" x14ac:dyDescent="0.25">
      <c r="A32" s="94"/>
      <c r="B32" s="225" t="str">
        <f>CRONOGRAMA!B21</f>
        <v>SÃO JOÃO DA LAGOA</v>
      </c>
      <c r="C32" s="225"/>
      <c r="D32" s="225"/>
      <c r="E32" s="85"/>
      <c r="F32" s="85"/>
      <c r="G32" s="85"/>
      <c r="H32" s="207"/>
      <c r="I32" s="207"/>
      <c r="J32" s="207"/>
      <c r="K32" s="207"/>
      <c r="L32" s="96"/>
      <c r="M32" s="85"/>
    </row>
    <row r="33" spans="1:13" x14ac:dyDescent="0.25">
      <c r="A33" s="94"/>
      <c r="B33" s="229" t="s">
        <v>25</v>
      </c>
      <c r="C33" s="229"/>
      <c r="D33" s="229"/>
      <c r="E33" s="85"/>
      <c r="F33" s="85"/>
      <c r="G33" s="85"/>
      <c r="H33" s="63" t="s">
        <v>27</v>
      </c>
      <c r="I33" s="63"/>
      <c r="J33" s="120"/>
      <c r="K33" s="120"/>
      <c r="L33" s="96"/>
      <c r="M33" s="85"/>
    </row>
    <row r="34" spans="1:13" x14ac:dyDescent="0.2">
      <c r="A34" s="94"/>
      <c r="B34" s="227"/>
      <c r="C34" s="227"/>
      <c r="D34" s="227"/>
      <c r="E34" s="85"/>
      <c r="F34" s="85"/>
      <c r="G34" s="85"/>
      <c r="H34" s="15" t="s">
        <v>28</v>
      </c>
      <c r="I34" s="193" t="str">
        <f>CRONOGRAMA!G23</f>
        <v>LEONARDO PETERSON AMARAL LIMA</v>
      </c>
      <c r="J34" s="193"/>
      <c r="K34" s="193"/>
      <c r="L34" s="96"/>
      <c r="M34" s="85"/>
    </row>
    <row r="35" spans="1:13" x14ac:dyDescent="0.2">
      <c r="A35" s="94"/>
      <c r="B35" s="228" t="str">
        <f>CRONOGRAMA!B24</f>
        <v>segunda-feira, 10 de Abril de 2026</v>
      </c>
      <c r="C35" s="228"/>
      <c r="D35" s="228"/>
      <c r="E35" s="85"/>
      <c r="F35" s="85"/>
      <c r="G35" s="85"/>
      <c r="H35" s="15" t="s">
        <v>29</v>
      </c>
      <c r="I35" s="193" t="str">
        <f>CRONOGRAMA!G24</f>
        <v>331.073/D</v>
      </c>
      <c r="J35" s="193"/>
      <c r="K35" s="193"/>
      <c r="L35" s="96"/>
      <c r="M35" s="85"/>
    </row>
    <row r="36" spans="1:13" x14ac:dyDescent="0.2">
      <c r="A36" s="94"/>
      <c r="B36" s="229" t="s">
        <v>26</v>
      </c>
      <c r="C36" s="229"/>
      <c r="D36" s="229"/>
      <c r="E36" s="85"/>
      <c r="F36" s="85"/>
      <c r="H36" s="15" t="s">
        <v>30</v>
      </c>
      <c r="I36" s="193" t="str">
        <f>CRONOGRAMA!G25</f>
        <v>MG20264928207</v>
      </c>
      <c r="J36" s="193"/>
      <c r="K36" s="193"/>
      <c r="L36" s="96"/>
      <c r="M36" s="85"/>
    </row>
    <row r="37" spans="1:13" x14ac:dyDescent="0.25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9"/>
      <c r="M37" s="85"/>
    </row>
  </sheetData>
  <mergeCells count="17">
    <mergeCell ref="B34:D34"/>
    <mergeCell ref="B35:D35"/>
    <mergeCell ref="B36:D36"/>
    <mergeCell ref="B33:D33"/>
    <mergeCell ref="I34:K34"/>
    <mergeCell ref="I35:K35"/>
    <mergeCell ref="I36:K36"/>
    <mergeCell ref="B2:K2"/>
    <mergeCell ref="B3:K3"/>
    <mergeCell ref="C10:G10"/>
    <mergeCell ref="B6:D6"/>
    <mergeCell ref="H32:K32"/>
    <mergeCell ref="B32:D32"/>
    <mergeCell ref="B5:D5"/>
    <mergeCell ref="E5:K5"/>
    <mergeCell ref="E6:K6"/>
    <mergeCell ref="B28:K28"/>
  </mergeCells>
  <phoneticPr fontId="14" type="noConversion"/>
  <conditionalFormatting sqref="H9:H27">
    <cfRule type="expression" dxfId="16" priority="65" stopIfTrue="1">
      <formula>OR(#REF!=0,#REF!=2,#REF!=3,#REF!=4)</formula>
    </cfRule>
    <cfRule type="expression" dxfId="15" priority="66" stopIfTrue="1">
      <formula>#REF!=1</formula>
    </cfRule>
  </conditionalFormatting>
  <conditionalFormatting sqref="H9:K14 H15:H16 H17:K17 H18:H27 K27">
    <cfRule type="expression" dxfId="14" priority="64" stopIfTrue="1">
      <formula>ACOMPANHAMENTO="BM"</formula>
    </cfRule>
  </conditionalFormatting>
  <conditionalFormatting sqref="I27:J27">
    <cfRule type="expression" dxfId="13" priority="11" stopIfTrue="1">
      <formula>$B27=1</formula>
    </cfRule>
    <cfRule type="expression" dxfId="12" priority="12" stopIfTrue="1">
      <formula>OR($B27=0,$B27=2,$B27=3,$B27=4)</formula>
    </cfRule>
  </conditionalFormatting>
  <conditionalFormatting sqref="I9:K14 I17:K17 K27">
    <cfRule type="expression" dxfId="11" priority="85" stopIfTrue="1">
      <formula>AND(#REF!&lt;&gt;".",OR(#REF!=0,#REF!=2,#REF!=3,#REF!=4,AND(#REF!="",#REF!&lt;&gt;"Empty"),OFFSET(#REF!,0,-1)=""))</formula>
    </cfRule>
    <cfRule type="expression" dxfId="10" priority="86" stopIfTrue="1">
      <formula>AND(#REF!=1,#REF!&lt;&gt;".")</formula>
    </cfRule>
  </conditionalFormatting>
  <conditionalFormatting sqref="I15:K16">
    <cfRule type="expression" dxfId="9" priority="7" stopIfTrue="1">
      <formula>$B15=1</formula>
    </cfRule>
    <cfRule type="expression" dxfId="8" priority="8" stopIfTrue="1">
      <formula>OR($B15=0,$B15=2,$B15=3,$B15=4)</formula>
    </cfRule>
  </conditionalFormatting>
  <conditionalFormatting sqref="I26:K26 I18:K21 I23:K24">
    <cfRule type="expression" dxfId="7" priority="17" stopIfTrue="1">
      <formula>$B18=1</formula>
    </cfRule>
    <cfRule type="expression" dxfId="6" priority="18" stopIfTrue="1">
      <formula>OR($B18=0,$B18=2,$B18=3,$B18=4)</formula>
    </cfRule>
  </conditionalFormatting>
  <conditionalFormatting sqref="I22:K22">
    <cfRule type="expression" dxfId="5" priority="4" stopIfTrue="1">
      <formula>ACOMPANHAMENTO="BM"</formula>
    </cfRule>
    <cfRule type="expression" dxfId="4" priority="5" stopIfTrue="1">
      <formula>AND(#REF!&lt;&gt;".",OR(#REF!=0,#REF!=2,#REF!=3,#REF!=4,AND(#REF!="",#REF!&lt;&gt;"Empty"),OFFSET(#REF!,0,-1)=""))</formula>
    </cfRule>
    <cfRule type="expression" dxfId="3" priority="6" stopIfTrue="1">
      <formula>AND(#REF!=1,#REF!&lt;&gt;".")</formula>
    </cfRule>
  </conditionalFormatting>
  <conditionalFormatting sqref="I25:K25">
    <cfRule type="expression" dxfId="2" priority="1" stopIfTrue="1">
      <formula>ACOMPANHAMENTO="BM"</formula>
    </cfRule>
    <cfRule type="expression" dxfId="1" priority="2" stopIfTrue="1">
      <formula>AND(#REF!&lt;&gt;".",OR(#REF!=0,#REF!=2,#REF!=3,#REF!=4,AND(#REF!="",#REF!&lt;&gt;"Empty"),OFFSET(#REF!,0,-1)=""))</formula>
    </cfRule>
    <cfRule type="expression" dxfId="0" priority="3" stopIfTrue="1">
      <formula>AND(#REF!=1,#REF!&lt;&gt;".")</formula>
    </cfRule>
  </conditionalFormatting>
  <dataValidations xWindow="1165" yWindow="722" count="3">
    <dataValidation type="decimal" operator="greaterThan" allowBlank="1" showErrorMessage="1" error="Apenas números decimais maiores que zero." sqref="K27 I17:K17 I22:K22 I11:K14 I25:K25" xr:uid="{E9188EB6-2007-4427-9BBE-81B451B70A7E}">
      <formula1>0</formula1>
      <formula2>0</formula2>
    </dataValidation>
    <dataValidation allowBlank="1" showInputMessage="1" showErrorMessage="1" prompt="A entrada de quantidades é feita na coluna AJ se acompanhamento por BM, ou na aba &quot;Memória de Cálculo/PLQ&quot; se acompanhamento por PLE." sqref="I15:K16 I27:J27 I26:K26 I18:K21 I23:K24" xr:uid="{F5F887BC-932C-4BAC-9512-24F43A43A83A}"/>
    <dataValidation allowBlank="1" showInputMessage="1" showErrorMessage="1" prompt="A quantidade é digitada nas colunas Q em diante, após preencher o nome das frentes de obra na célula Q12 em diante" sqref="F11:F27" xr:uid="{4B8BADBF-1D78-4CCB-B7D4-4F6F0027C514}"/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6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EFA0-4B36-4524-8340-DA56B2A12FFE}">
  <dimension ref="A1:G47"/>
  <sheetViews>
    <sheetView topLeftCell="A26" workbookViewId="0">
      <selection activeCell="A33" sqref="A1:G47"/>
    </sheetView>
  </sheetViews>
  <sheetFormatPr defaultRowHeight="15" x14ac:dyDescent="0.25"/>
  <cols>
    <col min="1" max="1" width="15.5703125" customWidth="1"/>
    <col min="2" max="2" width="12.5703125" customWidth="1"/>
    <col min="4" max="4" width="49.85546875" customWidth="1"/>
    <col min="5" max="5" width="12.5703125" customWidth="1"/>
    <col min="6" max="6" width="14.28515625" customWidth="1"/>
    <col min="7" max="7" width="17.5703125" customWidth="1"/>
  </cols>
  <sheetData>
    <row r="1" spans="1:7" ht="36" x14ac:dyDescent="0.25">
      <c r="A1" s="136" t="s">
        <v>121</v>
      </c>
      <c r="B1" s="144" t="s">
        <v>118</v>
      </c>
      <c r="C1" s="136"/>
      <c r="D1" s="137" t="s">
        <v>165</v>
      </c>
      <c r="E1" s="136" t="s">
        <v>77</v>
      </c>
      <c r="F1" s="136" t="s">
        <v>169</v>
      </c>
      <c r="G1" s="138" t="s">
        <v>122</v>
      </c>
    </row>
    <row r="2" spans="1:7" ht="36" x14ac:dyDescent="0.25">
      <c r="A2" s="135" t="s">
        <v>121</v>
      </c>
      <c r="B2" s="133" t="s">
        <v>88</v>
      </c>
      <c r="C2" s="133" t="s">
        <v>156</v>
      </c>
      <c r="D2" s="134" t="s">
        <v>114</v>
      </c>
      <c r="E2" s="133" t="s">
        <v>110</v>
      </c>
      <c r="F2" s="133">
        <v>2E-3</v>
      </c>
      <c r="G2" s="145">
        <v>9.31</v>
      </c>
    </row>
    <row r="3" spans="1:7" ht="36" x14ac:dyDescent="0.25">
      <c r="A3" s="135" t="s">
        <v>121</v>
      </c>
      <c r="B3" s="133" t="s">
        <v>88</v>
      </c>
      <c r="C3" s="133" t="s">
        <v>157</v>
      </c>
      <c r="D3" s="134" t="s">
        <v>113</v>
      </c>
      <c r="E3" s="133" t="s">
        <v>108</v>
      </c>
      <c r="F3" s="133">
        <v>4.0000000000000001E-3</v>
      </c>
      <c r="G3" s="145">
        <v>4.68</v>
      </c>
    </row>
    <row r="4" spans="1:7" ht="60" x14ac:dyDescent="0.25">
      <c r="A4" s="135" t="s">
        <v>121</v>
      </c>
      <c r="B4" s="133" t="s">
        <v>88</v>
      </c>
      <c r="C4" s="133" t="s">
        <v>158</v>
      </c>
      <c r="D4" s="134" t="s">
        <v>109</v>
      </c>
      <c r="E4" s="133" t="s">
        <v>110</v>
      </c>
      <c r="F4" s="133">
        <v>4.0000000000000001E-3</v>
      </c>
      <c r="G4" s="145">
        <v>267.95</v>
      </c>
    </row>
    <row r="5" spans="1:7" ht="24" x14ac:dyDescent="0.25">
      <c r="A5" s="135" t="s">
        <v>121</v>
      </c>
      <c r="B5" s="133" t="s">
        <v>88</v>
      </c>
      <c r="C5" s="133" t="s">
        <v>167</v>
      </c>
      <c r="D5" s="134" t="s">
        <v>112</v>
      </c>
      <c r="E5" s="133" t="s">
        <v>110</v>
      </c>
      <c r="F5" s="133">
        <v>1.6999999999999999E-3</v>
      </c>
      <c r="G5" s="145">
        <v>138.09</v>
      </c>
    </row>
    <row r="6" spans="1:7" x14ac:dyDescent="0.25">
      <c r="A6" s="135" t="s">
        <v>121</v>
      </c>
      <c r="B6" s="133" t="s">
        <v>88</v>
      </c>
      <c r="C6" s="133" t="s">
        <v>159</v>
      </c>
      <c r="D6" s="134" t="s">
        <v>115</v>
      </c>
      <c r="E6" s="133" t="s">
        <v>116</v>
      </c>
      <c r="F6" s="133">
        <v>5.4999999999999997E-3</v>
      </c>
      <c r="G6" s="145">
        <v>22.37</v>
      </c>
    </row>
    <row r="7" spans="1:7" ht="24" x14ac:dyDescent="0.25">
      <c r="A7" s="135" t="s">
        <v>121</v>
      </c>
      <c r="B7" s="133" t="s">
        <v>88</v>
      </c>
      <c r="C7" s="133" t="s">
        <v>129</v>
      </c>
      <c r="D7" s="134" t="s">
        <v>168</v>
      </c>
      <c r="E7" s="133" t="s">
        <v>163</v>
      </c>
      <c r="F7" s="133">
        <v>1E-3</v>
      </c>
      <c r="G7" s="145">
        <v>2710</v>
      </c>
    </row>
    <row r="8" spans="1:7" x14ac:dyDescent="0.25">
      <c r="A8" s="231" t="s">
        <v>170</v>
      </c>
      <c r="B8" s="232"/>
      <c r="C8" s="232"/>
      <c r="D8" s="232"/>
      <c r="E8" s="232"/>
      <c r="F8" s="233"/>
      <c r="G8" s="143">
        <v>3.18</v>
      </c>
    </row>
    <row r="9" spans="1:7" x14ac:dyDescent="0.25">
      <c r="A9" s="234"/>
      <c r="B9" s="234"/>
      <c r="C9" s="234"/>
      <c r="D9" s="234"/>
      <c r="E9" s="234"/>
      <c r="F9" s="234"/>
      <c r="G9" s="234"/>
    </row>
    <row r="10" spans="1:7" x14ac:dyDescent="0.25">
      <c r="A10" s="234"/>
      <c r="B10" s="234"/>
      <c r="C10" s="234"/>
      <c r="D10" s="234"/>
      <c r="E10" s="234"/>
      <c r="F10" s="234"/>
      <c r="G10" s="234"/>
    </row>
    <row r="11" spans="1:7" x14ac:dyDescent="0.25">
      <c r="A11" s="234"/>
      <c r="B11" s="234"/>
      <c r="C11" s="234"/>
      <c r="D11" s="234"/>
      <c r="E11" s="234"/>
      <c r="F11" s="234"/>
      <c r="G11" s="234"/>
    </row>
    <row r="12" spans="1:7" x14ac:dyDescent="0.25">
      <c r="A12" s="234"/>
      <c r="B12" s="234"/>
      <c r="C12" s="234"/>
      <c r="D12" s="234"/>
      <c r="E12" s="234"/>
      <c r="F12" s="234"/>
      <c r="G12" s="234"/>
    </row>
    <row r="13" spans="1:7" x14ac:dyDescent="0.25">
      <c r="A13" s="234"/>
      <c r="B13" s="234"/>
      <c r="C13" s="234"/>
      <c r="D13" s="234"/>
      <c r="E13" s="234"/>
      <c r="F13" s="234"/>
      <c r="G13" s="234"/>
    </row>
    <row r="14" spans="1:7" x14ac:dyDescent="0.25">
      <c r="A14" s="234"/>
      <c r="B14" s="234"/>
      <c r="C14" s="234"/>
      <c r="D14" s="234"/>
      <c r="E14" s="234"/>
      <c r="F14" s="234"/>
      <c r="G14" s="234"/>
    </row>
    <row r="15" spans="1:7" x14ac:dyDescent="0.25">
      <c r="A15" s="234"/>
      <c r="B15" s="234"/>
      <c r="C15" s="234"/>
      <c r="D15" s="234"/>
      <c r="E15" s="234"/>
      <c r="F15" s="234"/>
      <c r="G15" s="234"/>
    </row>
    <row r="16" spans="1:7" x14ac:dyDescent="0.25">
      <c r="A16" s="234"/>
      <c r="B16" s="234"/>
      <c r="C16" s="234"/>
      <c r="D16" s="234"/>
      <c r="E16" s="234"/>
      <c r="F16" s="234"/>
      <c r="G16" s="234"/>
    </row>
    <row r="17" spans="1:7" x14ac:dyDescent="0.25">
      <c r="A17" s="234"/>
      <c r="B17" s="234"/>
      <c r="C17" s="234"/>
      <c r="D17" s="234"/>
      <c r="E17" s="234"/>
      <c r="F17" s="234"/>
      <c r="G17" s="234"/>
    </row>
    <row r="18" spans="1:7" x14ac:dyDescent="0.25">
      <c r="A18" s="234"/>
      <c r="B18" s="234"/>
      <c r="C18" s="234"/>
      <c r="D18" s="234"/>
      <c r="E18" s="234"/>
      <c r="F18" s="234"/>
      <c r="G18" s="234"/>
    </row>
    <row r="19" spans="1:7" x14ac:dyDescent="0.25">
      <c r="A19" s="234"/>
      <c r="B19" s="234"/>
      <c r="C19" s="234"/>
      <c r="D19" s="234"/>
      <c r="E19" s="234"/>
      <c r="F19" s="234"/>
      <c r="G19" s="234"/>
    </row>
    <row r="20" spans="1:7" x14ac:dyDescent="0.25">
      <c r="A20" s="234"/>
      <c r="B20" s="234"/>
      <c r="C20" s="234"/>
      <c r="D20" s="234"/>
      <c r="E20" s="234"/>
      <c r="F20" s="234"/>
      <c r="G20" s="234"/>
    </row>
    <row r="21" spans="1:7" x14ac:dyDescent="0.25">
      <c r="A21" s="234"/>
      <c r="B21" s="234"/>
      <c r="C21" s="234"/>
      <c r="D21" s="234"/>
      <c r="E21" s="234"/>
      <c r="F21" s="234"/>
      <c r="G21" s="234"/>
    </row>
    <row r="22" spans="1:7" x14ac:dyDescent="0.25">
      <c r="A22" s="234"/>
      <c r="B22" s="234"/>
      <c r="C22" s="234"/>
      <c r="D22" s="234"/>
      <c r="E22" s="234"/>
      <c r="F22" s="234"/>
      <c r="G22" s="234"/>
    </row>
    <row r="23" spans="1:7" x14ac:dyDescent="0.25">
      <c r="A23" s="230"/>
      <c r="B23" s="230"/>
      <c r="C23" s="230"/>
      <c r="D23" s="230"/>
      <c r="E23" s="230"/>
      <c r="F23" s="230"/>
      <c r="G23" s="230"/>
    </row>
    <row r="24" spans="1:7" ht="36" x14ac:dyDescent="0.25">
      <c r="A24" s="136" t="s">
        <v>121</v>
      </c>
      <c r="B24" s="144" t="s">
        <v>129</v>
      </c>
      <c r="C24" s="136"/>
      <c r="D24" s="137" t="s">
        <v>171</v>
      </c>
      <c r="E24" s="136" t="s">
        <v>77</v>
      </c>
      <c r="F24" s="136" t="s">
        <v>169</v>
      </c>
      <c r="G24" s="138" t="s">
        <v>122</v>
      </c>
    </row>
    <row r="25" spans="1:7" ht="36" x14ac:dyDescent="0.25">
      <c r="A25" s="135" t="s">
        <v>121</v>
      </c>
      <c r="B25" s="133" t="s">
        <v>88</v>
      </c>
      <c r="C25" s="133" t="s">
        <v>156</v>
      </c>
      <c r="D25" s="134" t="s">
        <v>114</v>
      </c>
      <c r="E25" s="133" t="s">
        <v>110</v>
      </c>
      <c r="F25" s="133">
        <v>2E-3</v>
      </c>
      <c r="G25" s="133">
        <v>9.31</v>
      </c>
    </row>
    <row r="26" spans="1:7" ht="36" x14ac:dyDescent="0.25">
      <c r="A26" s="135" t="s">
        <v>121</v>
      </c>
      <c r="B26" s="133" t="s">
        <v>88</v>
      </c>
      <c r="C26" s="133" t="s">
        <v>157</v>
      </c>
      <c r="D26" s="134" t="s">
        <v>113</v>
      </c>
      <c r="E26" s="133" t="s">
        <v>108</v>
      </c>
      <c r="F26" s="133">
        <v>4.0000000000000001E-3</v>
      </c>
      <c r="G26" s="133">
        <v>4.68</v>
      </c>
    </row>
    <row r="27" spans="1:7" ht="60" x14ac:dyDescent="0.25">
      <c r="A27" s="135" t="s">
        <v>121</v>
      </c>
      <c r="B27" s="133" t="s">
        <v>88</v>
      </c>
      <c r="C27" s="133" t="s">
        <v>158</v>
      </c>
      <c r="D27" s="134" t="s">
        <v>109</v>
      </c>
      <c r="E27" s="133" t="s">
        <v>110</v>
      </c>
      <c r="F27" s="133">
        <v>1E-3</v>
      </c>
      <c r="G27" s="133">
        <v>27.94</v>
      </c>
    </row>
    <row r="28" spans="1:7" x14ac:dyDescent="0.25">
      <c r="A28" s="135" t="s">
        <v>121</v>
      </c>
      <c r="B28" s="133" t="s">
        <v>88</v>
      </c>
      <c r="C28" s="133" t="s">
        <v>159</v>
      </c>
      <c r="D28" s="134" t="s">
        <v>115</v>
      </c>
      <c r="E28" s="133" t="s">
        <v>116</v>
      </c>
      <c r="F28" s="133">
        <v>6.0000000000000001E-3</v>
      </c>
      <c r="G28" s="133">
        <v>24.25</v>
      </c>
    </row>
    <row r="29" spans="1:7" ht="24" x14ac:dyDescent="0.25">
      <c r="A29" s="135" t="s">
        <v>121</v>
      </c>
      <c r="B29" s="133" t="s">
        <v>88</v>
      </c>
      <c r="C29" s="133" t="s">
        <v>160</v>
      </c>
      <c r="D29" s="134" t="s">
        <v>111</v>
      </c>
      <c r="E29" s="133" t="s">
        <v>108</v>
      </c>
      <c r="F29" s="133">
        <v>4.0000000000000001E-3</v>
      </c>
      <c r="G29" s="133">
        <v>58.39</v>
      </c>
    </row>
    <row r="30" spans="1:7" ht="60" x14ac:dyDescent="0.25">
      <c r="A30" s="135" t="s">
        <v>121</v>
      </c>
      <c r="B30" s="133" t="s">
        <v>88</v>
      </c>
      <c r="C30" s="133" t="s">
        <v>161</v>
      </c>
      <c r="D30" s="134" t="s">
        <v>107</v>
      </c>
      <c r="E30" s="133" t="s">
        <v>108</v>
      </c>
      <c r="F30" s="133">
        <v>5.0000000000000001E-3</v>
      </c>
      <c r="G30" s="133">
        <v>7.29</v>
      </c>
    </row>
    <row r="31" spans="1:7" ht="24" x14ac:dyDescent="0.25">
      <c r="A31" s="135" t="s">
        <v>121</v>
      </c>
      <c r="B31" s="133" t="s">
        <v>88</v>
      </c>
      <c r="C31" s="133" t="s">
        <v>118</v>
      </c>
      <c r="D31" s="134" t="s">
        <v>162</v>
      </c>
      <c r="E31" s="133" t="s">
        <v>163</v>
      </c>
      <c r="F31" s="133">
        <v>1.1999999999999999E-3</v>
      </c>
      <c r="G31" s="133">
        <v>2130</v>
      </c>
    </row>
    <row r="32" spans="1:7" x14ac:dyDescent="0.25">
      <c r="A32" s="231" t="s">
        <v>170</v>
      </c>
      <c r="B32" s="232"/>
      <c r="C32" s="232"/>
      <c r="D32" s="232"/>
      <c r="E32" s="232"/>
      <c r="F32" s="233"/>
      <c r="G32" s="143">
        <v>3.53</v>
      </c>
    </row>
    <row r="33" spans="1:7" x14ac:dyDescent="0.25">
      <c r="A33" s="230"/>
      <c r="B33" s="230"/>
      <c r="C33" s="230"/>
      <c r="D33" s="230"/>
      <c r="E33" s="230"/>
      <c r="F33" s="230"/>
      <c r="G33" s="230"/>
    </row>
    <row r="34" spans="1:7" x14ac:dyDescent="0.25">
      <c r="A34" s="230"/>
      <c r="B34" s="230"/>
      <c r="C34" s="230"/>
      <c r="D34" s="230"/>
      <c r="E34" s="230"/>
      <c r="F34" s="230"/>
      <c r="G34" s="230"/>
    </row>
    <row r="35" spans="1:7" x14ac:dyDescent="0.25">
      <c r="A35" s="230"/>
      <c r="B35" s="230"/>
      <c r="C35" s="230"/>
      <c r="D35" s="230"/>
      <c r="E35" s="230"/>
      <c r="F35" s="230"/>
      <c r="G35" s="230"/>
    </row>
    <row r="36" spans="1:7" x14ac:dyDescent="0.25">
      <c r="A36" s="230"/>
      <c r="B36" s="230"/>
      <c r="C36" s="230"/>
      <c r="D36" s="230"/>
      <c r="E36" s="230"/>
      <c r="F36" s="230"/>
      <c r="G36" s="230"/>
    </row>
    <row r="37" spans="1:7" x14ac:dyDescent="0.25">
      <c r="A37" s="230"/>
      <c r="B37" s="230"/>
      <c r="C37" s="230"/>
      <c r="D37" s="230"/>
      <c r="E37" s="230"/>
      <c r="F37" s="230"/>
      <c r="G37" s="230"/>
    </row>
    <row r="38" spans="1:7" x14ac:dyDescent="0.25">
      <c r="A38" s="230"/>
      <c r="B38" s="230"/>
      <c r="C38" s="230"/>
      <c r="D38" s="230"/>
      <c r="E38" s="230"/>
      <c r="F38" s="230"/>
      <c r="G38" s="230"/>
    </row>
    <row r="39" spans="1:7" x14ac:dyDescent="0.25">
      <c r="A39" s="230"/>
      <c r="B39" s="230"/>
      <c r="C39" s="230"/>
      <c r="D39" s="230"/>
      <c r="E39" s="230"/>
      <c r="F39" s="230"/>
      <c r="G39" s="230"/>
    </row>
    <row r="40" spans="1:7" x14ac:dyDescent="0.25">
      <c r="A40" s="230"/>
      <c r="B40" s="230"/>
      <c r="C40" s="230"/>
      <c r="D40" s="230"/>
      <c r="E40" s="230"/>
      <c r="F40" s="230"/>
      <c r="G40" s="230"/>
    </row>
    <row r="41" spans="1:7" x14ac:dyDescent="0.25">
      <c r="A41" s="230"/>
      <c r="B41" s="230"/>
      <c r="C41" s="230"/>
      <c r="D41" s="230"/>
      <c r="E41" s="230"/>
      <c r="F41" s="230"/>
      <c r="G41" s="230"/>
    </row>
    <row r="42" spans="1:7" x14ac:dyDescent="0.25">
      <c r="A42" s="230"/>
      <c r="B42" s="230"/>
      <c r="C42" s="230"/>
      <c r="D42" s="230"/>
      <c r="E42" s="230"/>
      <c r="F42" s="230"/>
      <c r="G42" s="230"/>
    </row>
    <row r="43" spans="1:7" x14ac:dyDescent="0.25">
      <c r="A43" s="230"/>
      <c r="B43" s="230"/>
      <c r="C43" s="230"/>
      <c r="D43" s="230"/>
      <c r="E43" s="230"/>
      <c r="F43" s="230"/>
      <c r="G43" s="230"/>
    </row>
    <row r="44" spans="1:7" x14ac:dyDescent="0.25">
      <c r="A44" s="230"/>
      <c r="B44" s="230"/>
      <c r="C44" s="230"/>
      <c r="D44" s="230"/>
      <c r="E44" s="230"/>
      <c r="F44" s="230"/>
      <c r="G44" s="230"/>
    </row>
    <row r="45" spans="1:7" x14ac:dyDescent="0.25">
      <c r="A45" s="230"/>
      <c r="B45" s="230"/>
      <c r="C45" s="230"/>
      <c r="D45" s="230"/>
      <c r="E45" s="230"/>
      <c r="F45" s="230"/>
      <c r="G45" s="230"/>
    </row>
    <row r="46" spans="1:7" x14ac:dyDescent="0.25">
      <c r="A46" s="230"/>
      <c r="B46" s="230"/>
      <c r="C46" s="230"/>
      <c r="D46" s="230"/>
      <c r="E46" s="230"/>
      <c r="F46" s="230"/>
      <c r="G46" s="230"/>
    </row>
    <row r="47" spans="1:7" x14ac:dyDescent="0.25">
      <c r="A47" s="230"/>
      <c r="B47" s="230"/>
      <c r="C47" s="230"/>
      <c r="D47" s="230"/>
      <c r="E47" s="230"/>
      <c r="F47" s="230"/>
      <c r="G47" s="230"/>
    </row>
  </sheetData>
  <mergeCells count="5">
    <mergeCell ref="A33:G47"/>
    <mergeCell ref="A8:F8"/>
    <mergeCell ref="A9:G22"/>
    <mergeCell ref="A32:F32"/>
    <mergeCell ref="A23:G23"/>
  </mergeCells>
  <pageMargins left="0.51181102362204722" right="0.51181102362204722" top="0.78740157480314965" bottom="0.78740157480314965" header="0.31496062992125984" footer="0.31496062992125984"/>
  <pageSetup paperSize="9" scale="6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BDI</vt:lpstr>
      <vt:lpstr>ORÇAMENTO</vt:lpstr>
      <vt:lpstr>CRONOGRAMA</vt:lpstr>
      <vt:lpstr>MEMÓRIA DE CÁLCULO</vt:lpstr>
      <vt:lpstr>REFERÊNCIA</vt:lpstr>
      <vt:lpstr>BDI!Area_de_impressao</vt:lpstr>
      <vt:lpstr>CRONOGRAMA!Area_de_impressao</vt:lpstr>
      <vt:lpstr>'MEMÓRIA DE CÁLCULO'!Area_de_impressao</vt:lpstr>
      <vt:lpstr>ORÇAMENTO!Area_de_impressao</vt:lpstr>
      <vt:lpstr>REFERÊNCIA!Area_de_impressao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Peterson Amaral Lima</dc:creator>
  <cp:lastModifiedBy>Leonardo Peterson Amaral Lima</cp:lastModifiedBy>
  <cp:lastPrinted>2026-05-19T12:47:25Z</cp:lastPrinted>
  <dcterms:created xsi:type="dcterms:W3CDTF">2025-04-02T15:14:09Z</dcterms:created>
  <dcterms:modified xsi:type="dcterms:W3CDTF">2026-05-19T12:48:19Z</dcterms:modified>
</cp:coreProperties>
</file>