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FEITURA\orçamento\PAVIMENTAÇÃO SÃO ROBERTO\LICITAÇÃO\"/>
    </mc:Choice>
  </mc:AlternateContent>
  <xr:revisionPtr revIDLastSave="0" documentId="13_ncr:1_{CDA27ED7-21F5-4BEE-9432-0D5593767FB3}" xr6:coauthVersionLast="47" xr6:coauthVersionMax="47" xr10:uidLastSave="{00000000-0000-0000-0000-000000000000}"/>
  <bookViews>
    <workbookView xWindow="-120" yWindow="-120" windowWidth="29040" windowHeight="15720" activeTab="1" xr2:uid="{BC7E82ED-24DA-47D3-A3DE-70EA21059675}"/>
  </bookViews>
  <sheets>
    <sheet name="BDI" sheetId="1" r:id="rId1"/>
    <sheet name="ORÇAMENTO" sheetId="2" r:id="rId2"/>
    <sheet name="CRONOGRAMA" sheetId="3" r:id="rId3"/>
    <sheet name="MEMÓRIA DE CÁLCULO" sheetId="5" r:id="rId4"/>
    <sheet name="COMPOSIÇÃO" sheetId="6" r:id="rId5"/>
    <sheet name="REFERÊNCIA" sheetId="7" r:id="rId6"/>
  </sheets>
  <externalReferences>
    <externalReference r:id="rId7"/>
  </externalReferences>
  <definedNames>
    <definedName name="ACOMPANHAMENTO" hidden="1">IF(VALUE([1]MENU!$O$4)=2,"BM","PLE")</definedName>
    <definedName name="_xlnm.Print_Area" localSheetId="4">COMPOSIÇÃO!$B$2:$J$189</definedName>
    <definedName name="_xlnm.Print_Area" localSheetId="2">CRONOGRAMA!$A$1:$K$25</definedName>
    <definedName name="_xlnm.Print_Area" localSheetId="3">'MEMÓRIA DE CÁLCULO'!$A$1:$K$36</definedName>
    <definedName name="_xlnm.Print_Area" localSheetId="1">ORÇAMENTO!$A$1:$K$42</definedName>
    <definedName name="AUTOEVENTO" hidden="1">#REF!</definedName>
    <definedName name="BDI.Opcao" hidden="1">[1]DADOS!$F$18</definedName>
    <definedName name="BDI.TipoObra" hidden="1">[1]BDI!$A$138:$A$146</definedName>
    <definedName name="CÁLCULO.NúmeroDeFrentes" hidden="1">COLUMN([1]CÁLCULO!$AA$15)-COLUMN([1]CÁLCULO!$Q$15)</definedName>
    <definedName name="CRONO.MaxParc" hidden="1">[1]CRONO!$G65536+[1]CRONO!A1</definedName>
    <definedName name="CRONOPLE.ValorDoEvento" hidden="1">SUMIF([1]CÁLCULO!$M$15:$M$27,[1]CRONOPLE!$B1,OFFSET([1]CÁLCULO!$AA$15:$AA$27,0,[1]CRONOPLE!A$12))</definedName>
    <definedName name="DESONERACAO" hidden="1">IF(OR(Import.Desoneracao="DESONERADO",Import.Desoneracao="SIM"),"SIM","NÃO")</definedName>
    <definedName name="EVENTOS.ListaValidacao" hidden="1">[1]EVENTOS!$B$15:OFFSET([1]EVENTOS!$B$62,-1,0)</definedName>
    <definedName name="Excel_BuiltIn_Database" hidden="1">TEXT(Import.DataBase,"mm-aaaa")</definedName>
    <definedName name="Import.Apelido" hidden="1">[1]DADOS!$F$16</definedName>
    <definedName name="Import.CR" hidden="1">[1]DADOS!$F$7</definedName>
    <definedName name="Import.CTEF" hidden="1">[1]DADOS!$F$36</definedName>
    <definedName name="Import.DataBase" hidden="1">OFFSET([1]DADOS!$G$19,0,-1)</definedName>
    <definedName name="Import.DescLote" hidden="1">[1]DADOS!$F$17</definedName>
    <definedName name="Import.Desoneracao" hidden="1">OFFSET([1]DADOS!$G$18,0,-1)</definedName>
    <definedName name="Import.empresa" hidden="1">[1]DADOS!$F$37</definedName>
    <definedName name="Import.Município" hidden="1">[1]DADOS!$F$6</definedName>
    <definedName name="Import.Proponente" hidden="1">[1]DADOS!$F$5</definedName>
    <definedName name="import.recurso" hidden="1">[1]DADOS!$F$4</definedName>
    <definedName name="Import.RegimeExecução" hidden="1">OFFSET([1]DADOS!$G$39,0,-1)</definedName>
    <definedName name="Import.RespOrçamento" hidden="1">[1]DADOS!$F$22:$F$24</definedName>
    <definedName name="Import.SICONV" hidden="1">[1]DADOS!$F$8</definedName>
    <definedName name="ORÇAMENTO.BancoRef" hidden="1">CRONOGRAMA!#REF!</definedName>
    <definedName name="ORÇAMENTO.CustoUnitario" hidden="1">ROUND(CRONOGRAMA!$T1,15-13*CRONOGRAMA!#REF!)</definedName>
    <definedName name="ORÇAMENTO.PrecoUnitarioLicitado" hidden="1">CRONOGRAMA!$AK1</definedName>
    <definedName name="REFERENCIA.Descricao" hidden="1">IF(ISNUMBER(CRONOGRAMA!$AE1),OFFSET(INDIRECT(ORÇAMENTO.BancoRef),CRONOGRAMA!$AE1-1,3,1),CRONOGRAMA!$AE1)</definedName>
    <definedName name="REFERENCIA.Unidade" hidden="1">IF(ISNUMBER(CRONOGRAMA!$AE1),OFFSET(INDIRECT(ORÇAMENTO.BancoRef),CRONOGRAMA!$AE1-1,4,1),"-")</definedName>
    <definedName name="SomaAgrup" hidden="1">SUMIF(OFFSET(CRONOGRAMA!#REF!,1,0,CRONOGRAMA!#REF!),"S",OFFSET(CRONOGRAMA!A1,1,0,CRONOGRAMA!#REF!))</definedName>
    <definedName name="TIPOORCAMENTO" hidden="1">IF(VALUE([1]MENU!$O$3)=2,"Licitado","Proposto")</definedName>
    <definedName name="VTOTAL1" hidden="1">ROUND(CRONOGRAMA!$S1*CRONOGRAMA!$V1,15-13*CRONOGRAMA!$AE$9)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J22" i="5"/>
  <c r="I22" i="5"/>
  <c r="J17" i="5"/>
  <c r="I17" i="5"/>
  <c r="J18" i="5"/>
  <c r="J19" i="5" s="1"/>
  <c r="I19" i="5"/>
  <c r="J21" i="5"/>
  <c r="I21" i="5"/>
  <c r="N26" i="2"/>
  <c r="C13" i="3"/>
  <c r="C12" i="3"/>
  <c r="D23" i="5"/>
  <c r="C23" i="5"/>
  <c r="D20" i="5"/>
  <c r="C20" i="5"/>
  <c r="O10" i="5"/>
  <c r="C24" i="5"/>
  <c r="C25" i="5"/>
  <c r="C26" i="5"/>
  <c r="I24" i="5"/>
  <c r="I26" i="5"/>
  <c r="J26" i="5"/>
  <c r="D26" i="5"/>
  <c r="E26" i="5"/>
  <c r="J24" i="5"/>
  <c r="J25" i="5"/>
  <c r="F25" i="5"/>
  <c r="G26" i="2" s="1"/>
  <c r="D25" i="5"/>
  <c r="E25" i="5"/>
  <c r="F26" i="5" l="1"/>
  <c r="G27" i="2" s="1"/>
  <c r="I16" i="5"/>
  <c r="F24" i="5" l="1"/>
  <c r="I18" i="5"/>
  <c r="F17" i="5"/>
  <c r="I123" i="6" l="1"/>
  <c r="I124" i="6" s="1"/>
  <c r="I118" i="6"/>
  <c r="I119" i="6" s="1"/>
  <c r="I111" i="6"/>
  <c r="I112" i="6"/>
  <c r="I113" i="6"/>
  <c r="I114" i="6"/>
  <c r="I115" i="6"/>
  <c r="I110" i="6"/>
  <c r="E18" i="5"/>
  <c r="E17" i="5"/>
  <c r="C22" i="5"/>
  <c r="C21" i="5"/>
  <c r="C19" i="5"/>
  <c r="C18" i="5"/>
  <c r="C17" i="5"/>
  <c r="C16" i="5"/>
  <c r="D17" i="5"/>
  <c r="E16" i="5"/>
  <c r="E17" i="2"/>
  <c r="D16" i="5" s="1"/>
  <c r="I116" i="6" l="1"/>
  <c r="I120" i="6" s="1"/>
  <c r="I121" i="6" s="1"/>
  <c r="I128" i="6" s="1"/>
  <c r="H17" i="2" s="1"/>
  <c r="G18" i="2"/>
  <c r="F16" i="5"/>
  <c r="G17" i="2" s="1"/>
  <c r="F14" i="5" l="1"/>
  <c r="F13" i="5"/>
  <c r="D11" i="5"/>
  <c r="F18" i="5" l="1"/>
  <c r="B9" i="1"/>
  <c r="D14" i="5"/>
  <c r="G15" i="2"/>
  <c r="D13" i="5"/>
  <c r="D12" i="5"/>
  <c r="H13" i="5" l="1"/>
  <c r="H14" i="5"/>
  <c r="F19" i="5"/>
  <c r="C15" i="5"/>
  <c r="D6" i="6" l="1"/>
  <c r="C9" i="6" s="1"/>
  <c r="I9" i="6"/>
  <c r="I24" i="6"/>
  <c r="I25" i="6" s="1"/>
  <c r="I29" i="6"/>
  <c r="I30" i="6" s="1"/>
  <c r="I17" i="6"/>
  <c r="I18" i="6"/>
  <c r="I19" i="6"/>
  <c r="I20" i="6"/>
  <c r="I21" i="6"/>
  <c r="I16" i="6"/>
  <c r="E19" i="2"/>
  <c r="I26" i="2" l="1"/>
  <c r="I27" i="2"/>
  <c r="I15" i="2"/>
  <c r="J15" i="2" s="1"/>
  <c r="I18" i="2"/>
  <c r="J18" i="2" s="1"/>
  <c r="I17" i="2"/>
  <c r="J17" i="2" s="1"/>
  <c r="F22" i="5"/>
  <c r="F21" i="5"/>
  <c r="I20" i="2"/>
  <c r="I22" i="6"/>
  <c r="I26" i="6" s="1"/>
  <c r="I27" i="6" s="1"/>
  <c r="I34" i="6" s="1"/>
  <c r="I25" i="2"/>
  <c r="I23" i="2"/>
  <c r="I22" i="2"/>
  <c r="E19" i="5"/>
  <c r="E21" i="5"/>
  <c r="E22" i="5"/>
  <c r="E24" i="5"/>
  <c r="D24" i="5"/>
  <c r="D22" i="5"/>
  <c r="D21" i="5"/>
  <c r="D19" i="5"/>
  <c r="D18" i="5"/>
  <c r="D15" i="5"/>
  <c r="H16" i="5" s="1"/>
  <c r="H17" i="5" s="1"/>
  <c r="H18" i="5" s="1"/>
  <c r="H19" i="5" s="1"/>
  <c r="H21" i="5" s="1"/>
  <c r="H22" i="5" s="1"/>
  <c r="H24" i="5" s="1"/>
  <c r="H25" i="5" s="1"/>
  <c r="H26" i="5" s="1"/>
  <c r="C11" i="3"/>
  <c r="J26" i="2" l="1"/>
  <c r="O25" i="5"/>
  <c r="J27" i="2"/>
  <c r="O26" i="5"/>
  <c r="O14" i="5"/>
  <c r="O21" i="5"/>
  <c r="O24" i="5"/>
  <c r="O22" i="5"/>
  <c r="O19" i="5"/>
  <c r="O16" i="5"/>
  <c r="O17" i="5"/>
  <c r="H19" i="2"/>
  <c r="I19" i="2" s="1"/>
  <c r="I36" i="6"/>
  <c r="G22" i="2"/>
  <c r="J22" i="2" s="1"/>
  <c r="J20" i="5" l="1"/>
  <c r="O12" i="3" s="1"/>
  <c r="I20" i="5"/>
  <c r="N12" i="3" s="1"/>
  <c r="I23" i="5"/>
  <c r="N13" i="3" s="1"/>
  <c r="J23" i="5"/>
  <c r="O13" i="3" s="1"/>
  <c r="O18" i="5"/>
  <c r="Q21" i="5"/>
  <c r="Q19" i="5"/>
  <c r="G20" i="2"/>
  <c r="J20" i="2" s="1"/>
  <c r="G19" i="2"/>
  <c r="J19" i="2" s="1"/>
  <c r="G25" i="2"/>
  <c r="J25" i="2" s="1"/>
  <c r="J24" i="2" s="1"/>
  <c r="D13" i="3" s="1"/>
  <c r="Q24" i="5"/>
  <c r="J16" i="2" l="1"/>
  <c r="J15" i="5"/>
  <c r="I15" i="5"/>
  <c r="F13" i="3"/>
  <c r="G13" i="3"/>
  <c r="O20" i="5"/>
  <c r="Q20" i="5" s="1"/>
  <c r="Q18" i="5"/>
  <c r="Q22" i="5"/>
  <c r="G23" i="2"/>
  <c r="J23" i="2" s="1"/>
  <c r="J21" i="2" s="1"/>
  <c r="D12" i="3" s="1"/>
  <c r="G40" i="2"/>
  <c r="G23" i="3" s="1"/>
  <c r="I34" i="5" s="1"/>
  <c r="G41" i="2"/>
  <c r="G24" i="3" s="1"/>
  <c r="I35" i="5" s="1"/>
  <c r="G39" i="2"/>
  <c r="G22" i="3" s="1"/>
  <c r="I33" i="5" s="1"/>
  <c r="O23" i="5" s="1"/>
  <c r="Q23" i="5" s="1"/>
  <c r="O13" i="5"/>
  <c r="G14" i="2"/>
  <c r="J14" i="2" s="1"/>
  <c r="J13" i="2" s="1"/>
  <c r="C9" i="3"/>
  <c r="C10" i="3"/>
  <c r="B37" i="2"/>
  <c r="B20" i="3" s="1"/>
  <c r="B31" i="5" s="1"/>
  <c r="B5" i="2"/>
  <c r="D5" i="3"/>
  <c r="E6" i="5" s="1"/>
  <c r="B10" i="5"/>
  <c r="H10" i="2"/>
  <c r="G2" i="1"/>
  <c r="M13" i="3" l="1"/>
  <c r="G12" i="3"/>
  <c r="F12" i="3"/>
  <c r="J12" i="2"/>
  <c r="O15" i="5"/>
  <c r="Q15" i="5" s="1"/>
  <c r="O11" i="3"/>
  <c r="N11" i="3"/>
  <c r="D10" i="3"/>
  <c r="J12" i="5"/>
  <c r="J10" i="5" s="1"/>
  <c r="I12" i="5"/>
  <c r="B6" i="5"/>
  <c r="C6" i="6"/>
  <c r="Q13" i="5"/>
  <c r="C10" i="5"/>
  <c r="E8" i="2"/>
  <c r="B11" i="2"/>
  <c r="B5" i="3"/>
  <c r="M12" i="3" l="1"/>
  <c r="N10" i="3"/>
  <c r="F10" i="3" s="1"/>
  <c r="I10" i="5"/>
  <c r="Q10" i="5"/>
  <c r="O10" i="3"/>
  <c r="G10" i="3" s="1"/>
  <c r="N10" i="5" l="1"/>
  <c r="M10" i="3"/>
  <c r="D11" i="3"/>
  <c r="F11" i="3" s="1"/>
  <c r="G11" i="3" l="1"/>
  <c r="D9" i="3"/>
  <c r="J11" i="2"/>
  <c r="G9" i="3" l="1"/>
  <c r="Q10" i="3"/>
  <c r="F9" i="3"/>
  <c r="F15" i="3" s="1"/>
  <c r="M11" i="3"/>
  <c r="F16" i="3" l="1"/>
  <c r="F18" i="3" s="1"/>
  <c r="F17" i="3"/>
  <c r="M9" i="3"/>
  <c r="G15" i="3"/>
  <c r="G16" i="3" s="1"/>
  <c r="G17" i="3" l="1"/>
  <c r="G18" i="3"/>
  <c r="B40" i="2"/>
  <c r="B23" i="3" s="1"/>
  <c r="B34" i="5" s="1"/>
  <c r="E20" i="5"/>
  <c r="E14" i="5"/>
  <c r="E13" i="5"/>
  <c r="E11" i="5"/>
  <c r="H20" i="5"/>
  <c r="E15" i="5"/>
  <c r="E23" i="5"/>
  <c r="F11" i="5"/>
  <c r="E12" i="5"/>
  <c r="H11" i="5"/>
  <c r="F12" i="5"/>
  <c r="H12" i="5"/>
  <c r="H15" i="5"/>
  <c r="H23" i="5"/>
</calcChain>
</file>

<file path=xl/sharedStrings.xml><?xml version="1.0" encoding="utf-8"?>
<sst xmlns="http://schemas.openxmlformats.org/spreadsheetml/2006/main" count="426" uniqueCount="207">
  <si>
    <t>Grau de Sigilo</t>
  </si>
  <si>
    <t>#PUBLICO</t>
  </si>
  <si>
    <t>PROPONENTE / TOMADOR</t>
  </si>
  <si>
    <t>Conforme legislação tributária municipal, definir estimativa de percentual da base de cálculo para o ISS:</t>
  </si>
  <si>
    <t>Sobre a base de cálculo, definir a respectiva alíquota do ISS (entre 2% e 5%):</t>
  </si>
  <si>
    <t>BDI 1</t>
  </si>
  <si>
    <t>TIPO DE OBRA</t>
  </si>
  <si>
    <t>Itens</t>
  </si>
  <si>
    <t>Siglas</t>
  </si>
  <si>
    <t>% Adotado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</si>
  <si>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</si>
  <si>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</si>
  <si>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</si>
  <si>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</si>
  <si>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</si>
  <si>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</si>
  <si>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</si>
  <si>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</si>
  <si>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BDI COM desoneração</t>
  </si>
  <si>
    <t>BDI DES</t>
  </si>
  <si>
    <t>Os valores de BDI foram calculados com o emprego da fórmula:</t>
  </si>
  <si>
    <t>BDI =</t>
  </si>
  <si>
    <t xml:space="preserve"> - 1</t>
  </si>
  <si>
    <t>(1-CP-ISS-CRPB)</t>
  </si>
  <si>
    <t>Observações:</t>
  </si>
  <si>
    <t>Local</t>
  </si>
  <si>
    <t>Data</t>
  </si>
  <si>
    <t>Responsável Técnico</t>
  </si>
  <si>
    <t>Nome:</t>
  </si>
  <si>
    <t>CREA/CAU:</t>
  </si>
  <si>
    <t>ART/RRT: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</si>
  <si>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</si>
  <si>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</si>
  <si>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</si>
  <si>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</si>
  <si>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</si>
  <si>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</si>
  <si>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</si>
  <si>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</si>
  <si>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</si>
  <si>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</si>
  <si>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(1+AC + S + R + G)*(1 + DF)*(1+L)</t>
  </si>
  <si>
    <t>OBJETO</t>
  </si>
  <si>
    <t>Declaro para os devidos fins que, conforme legislação tributária municipal, a base de cálculo deste tipo de obra corresponde à 100%, com a respectiva alíquota de 5%</t>
  </si>
  <si>
    <t>PO - PLANILHA ORÇAMENTÁRIA</t>
  </si>
  <si>
    <t>DATA BASE</t>
  </si>
  <si>
    <t>Nível</t>
  </si>
  <si>
    <t>Item</t>
  </si>
  <si>
    <t>Fonte</t>
  </si>
  <si>
    <t>Código</t>
  </si>
  <si>
    <t>Descrição</t>
  </si>
  <si>
    <t>Unidade</t>
  </si>
  <si>
    <t>Quantidade</t>
  </si>
  <si>
    <t>Preço Unitário (com BDI) (R$)</t>
  </si>
  <si>
    <t>Preço Total
(R$)</t>
  </si>
  <si>
    <t>Serviço</t>
  </si>
  <si>
    <t>Nível 2</t>
  </si>
  <si>
    <t>ED-28427</t>
  </si>
  <si>
    <t>SÃO JOÃO DA LAGOA</t>
  </si>
  <si>
    <t>MUNICÍPIO / UF</t>
  </si>
  <si>
    <t>Memória de Cálculo</t>
  </si>
  <si>
    <t>1 UNIDADE</t>
  </si>
  <si>
    <t>Agrupador de Eventos</t>
  </si>
  <si>
    <t>TOTAL FINANC. POR FRENTE (R$):</t>
  </si>
  <si>
    <t>FRENTE DE OBRA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</si>
  <si>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</si>
  <si>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PLANILHA DE LEVANTAMENTO DE QUANTIDADES</t>
  </si>
  <si>
    <t>1.</t>
  </si>
  <si>
    <t>Valor (R$)</t>
  </si>
  <si>
    <t>Parcelas:</t>
  </si>
  <si>
    <t>% Período:</t>
  </si>
  <si>
    <t>1.1.</t>
  </si>
  <si>
    <t>%:</t>
  </si>
  <si>
    <t>CFF - CRONOGRAMA FÍSICO-FINANCEIRO</t>
  </si>
  <si>
    <t>Período</t>
  </si>
  <si>
    <t>Financeiro</t>
  </si>
  <si>
    <t>Acumulado</t>
  </si>
  <si>
    <t>UNI</t>
  </si>
  <si>
    <t>M</t>
  </si>
  <si>
    <t>Declaro para os devidos fins que o regime de Contribuição Previdenciária sobre a Receita Bruta adotado para elaboração do orçamento foi COM Desoneração, e que esta é a alternativa mais adequada para a Administração Pública.</t>
  </si>
  <si>
    <t>1.1</t>
  </si>
  <si>
    <t>1.1.1</t>
  </si>
  <si>
    <t>1.2</t>
  </si>
  <si>
    <t>PREFEITURA MUNICIPAL DE SÃO JOÃO DA LAGOA</t>
  </si>
  <si>
    <t>1.2.1</t>
  </si>
  <si>
    <t>1.2.2</t>
  </si>
  <si>
    <t>1.2.3</t>
  </si>
  <si>
    <t>REFERÊNCIA</t>
  </si>
  <si>
    <t>BDI</t>
  </si>
  <si>
    <t>SINAPI</t>
  </si>
  <si>
    <t>M²</t>
  </si>
  <si>
    <t>TxKM</t>
  </si>
  <si>
    <t>ED-7623</t>
  </si>
  <si>
    <t>EXECUÇÃO E APLICAÇÃO DE CONCRETO BETUMINOSO USINADO A QUENTE (CBUQ), MASSA COMERCIAL, INCLUINDO FORNECIMENTO E TRANSPORTE DOS AGREGADOS E MATERIAL BETUMINOSO, EXCLUSIVE TRANSPORTE DA MASSA ASFÁLTICA ATÉ A PISTA</t>
  </si>
  <si>
    <t>M³</t>
  </si>
  <si>
    <t>M³xKM</t>
  </si>
  <si>
    <t>102331</t>
  </si>
  <si>
    <t>93590</t>
  </si>
  <si>
    <t>1.3</t>
  </si>
  <si>
    <t>MEMÓRIA DE CÁLCULO</t>
  </si>
  <si>
    <t>LEONARDO PETERSON AMARAL LIMA</t>
  </si>
  <si>
    <t>331.073/D</t>
  </si>
  <si>
    <t>Construção de Praças Urbanas, Rodovias, Ferrovias e recapeamento e pavimentação de vias urbanas</t>
  </si>
  <si>
    <t>COMPOSIÇÃO DE CUSTO UNITÁRIO</t>
  </si>
  <si>
    <t>SERVIÇO</t>
  </si>
  <si>
    <t>CÓDIGO</t>
  </si>
  <si>
    <t>UNIDADE</t>
  </si>
  <si>
    <t>SECRETARIA RESP.</t>
  </si>
  <si>
    <t>DATA DE ELABORAÇÃO</t>
  </si>
  <si>
    <t>EXECUÇÃO DE PINTURA DE LIGAÇÃO COM EMULSÃO ASFÁLTICA RR-2C.</t>
  </si>
  <si>
    <t>M2</t>
  </si>
  <si>
    <t>EQUIPAMENTO</t>
  </si>
  <si>
    <t>FONTE</t>
  </si>
  <si>
    <t>CONSUMO</t>
  </si>
  <si>
    <t>CUSTO UNITÁRIO</t>
  </si>
  <si>
    <t>CUSTO FINAL</t>
  </si>
  <si>
    <t>ESPARGIDOR DE ASFALTO PRESSURIZADO, TANQUE 6 M3 COM ISOLAÇÃO TÉRMICA, AQUECIDO COM 2 MAÇARICOS, COM BARRA ESPARGIDORA 3,60 M, MONTADO SOBRE CAMINHÃO TOCO, PBT 14.300 KG, POTÊNCIA 185 CV - CHI DIURNO. AF_05/2023</t>
  </si>
  <si>
    <t>CHI</t>
  </si>
  <si>
    <t>ESPARGIDOR DE ASFALTO PRESSURIZADO, TANQUE 6 M3 COM ISOLAÇÃO TÉRMICA, AQUECIDO COM 2 MAÇARICOS, COM BARRA ESPARGIDORA 3,60 M, MONTADO SOBRE CAMINHÃO TOCO, PBT 14.300 KG, POTÊNCIA 185 CV - CHP DIURNO. AF_05/2023</t>
  </si>
  <si>
    <t>CHP</t>
  </si>
  <si>
    <t>TRATOR DE PNEUS, POTÊNCIA 85 CV, TRAÇÃO 4X4, PESO COM LASTRO DE 4.675 KG - CHI DIURNO. AF_06/2014</t>
  </si>
  <si>
    <t>TRATOR DE PNEUS, POTÊNCIA 85 CV, TRAÇÃO 4X4, PESO COM LASTRO DE 4.675 KG - CHP DIURNO. AF_06/2014</t>
  </si>
  <si>
    <t>VASSOURA MECÂNICA REBOCÁVEL COM ESCOVA CILÍNDRICA, LARGURA ÚTIL DE VARRIMENTO DE 2,44 M - CHI DIURNO. AF_06/2014</t>
  </si>
  <si>
    <t>VASSOURA MECÂNICA REBOCÁVEL COM ESCOVA CILÍNDRICA, LARGURA ÚTIL DE VARRIMENTO DE 2,44 M - CHP DIURNO. AF_06/2014</t>
  </si>
  <si>
    <t>(A)TOTAL</t>
  </si>
  <si>
    <t>MÃO DE OBRA SUPLEMENTAR</t>
  </si>
  <si>
    <t>SERVENTE COM ENCARGOS COMPLEMENTARES</t>
  </si>
  <si>
    <t>H</t>
  </si>
  <si>
    <t>(B)TOTAL</t>
  </si>
  <si>
    <t>(C)PRODUÇÃO DA EQUIPE</t>
  </si>
  <si>
    <t>CUSTO HORÁRIO TOTAL(A + B)</t>
  </si>
  <si>
    <t>(D)CUSTO UNITÁRIO DA EXECUÇÃO</t>
  </si>
  <si>
    <t>[(A) + (B)] : (C) = (D)</t>
  </si>
  <si>
    <t>MATERIAL</t>
  </si>
  <si>
    <t>EMULSÕES ASFÁLTICAS RR-2C</t>
  </si>
  <si>
    <t>-</t>
  </si>
  <si>
    <t>ANP</t>
  </si>
  <si>
    <t>KG</t>
  </si>
  <si>
    <t>(E)TOTAL</t>
  </si>
  <si>
    <t>SERVIÇOS</t>
  </si>
  <si>
    <t>(F)TOTAL</t>
  </si>
  <si>
    <t>CUSTO UNITÁRIO TOTAL: (D) + (E) + (F) (R$)</t>
  </si>
  <si>
    <t>BDI (%)</t>
  </si>
  <si>
    <t>PREÇO UNITÁRIO (R$)</t>
  </si>
  <si>
    <t>OBS.:</t>
  </si>
  <si>
    <t>TABELAS DE REFERÊNCIA:</t>
  </si>
  <si>
    <t>RESPONSÁVEL PELA ELABORAÇÃO</t>
  </si>
  <si>
    <t>RESPONSÁVEL PELA PUBLICAÇÃO</t>
  </si>
  <si>
    <t>OBRAS E INFRAESTRUTURA</t>
  </si>
  <si>
    <t>Composição</t>
  </si>
  <si>
    <t>001</t>
  </si>
  <si>
    <t>COMPOSIÇÃO BASEADA NA TABELA SINAPI CÓDIGO N° 104375 - COMPOSIÇÃO SEM CUSTO SINAPI;
O VALOR DA EMULSÃO ASFÁLTICA RR-2C FOI RETIRADO DA TABELA ANP- AGÊNCIA NACIONAL DO PETRÓLEO, GÁS NATURAL E BIOCOMBUSTÍVEIS (ANP) - REGIÃO SUDESTE - FEV/26.</t>
  </si>
  <si>
    <t>SINAPI -MG / SETOP / ANP</t>
  </si>
  <si>
    <t>01 - 26 (DES) / OUT-25 (DES) / FEV (26)</t>
  </si>
  <si>
    <t>PLANILHA DE COMPOSIÇÃO</t>
  </si>
  <si>
    <t>COMPOSIÇÃO</t>
  </si>
  <si>
    <t>INSUMO</t>
  </si>
  <si>
    <t>VALOR UNITÁRIO (COM DESONERAÇÃO)</t>
  </si>
  <si>
    <t>EXECUÇÃO DE PINTURA DE LIGAÇÃO COM EMULSÃO ASFÁLTICA RR-2C, PARA OBRAS DE CONSTRUÇÃO DE PAVIMENTOS. AF_ 09/2024</t>
  </si>
  <si>
    <t>EMULSÃO ASFÁLTICA CATIONICA RR-2C PARA USO EM PAVIMENTAÇÃO ASFALTICA</t>
  </si>
  <si>
    <t>SEM PREÇO</t>
  </si>
  <si>
    <t>94267</t>
  </si>
  <si>
    <t>GUIA (MEIO-FIO) E SARJETA CONJUGADOS DE CONCRETO, MOLDADA IN LOCO EM TRECHO RETO COM EXTRUSORA, 45 CM BASE (15 CM BASE DA GUIA + 30 CM BASE DA SARJETA) X 22 CM ALTURA. AF_01/2024</t>
  </si>
  <si>
    <t>1.2.4</t>
  </si>
  <si>
    <t>SETOP</t>
  </si>
  <si>
    <t>1.1.2</t>
  </si>
  <si>
    <t>ED-50275</t>
  </si>
  <si>
    <t>PAVIMENTAÇÃO</t>
  </si>
  <si>
    <t>AVENIDA MONTES CLAROS</t>
  </si>
  <si>
    <t>PAVIMENTAÇÃO DE VIA PÚBLICA NO DISTRITO DE SÃO ROBERTO DE MINAS</t>
  </si>
  <si>
    <t>LOCAÇÃO TOPOGRÁFICA DE VINTE UM (21) ATÉ CINQUENTA (50) PONTOS REFERENCIAIS, INCLUSIVE ESTACA (PIQUETE) DE MARCAÇÃO</t>
  </si>
  <si>
    <t>EXECUÇÃO DE IMPRIMAÇÃO COM EMULSÃO ASFÁLTICA PARA SERVIÇO DE IMPRIMAÇÃO (EAI)</t>
  </si>
  <si>
    <t>INFRAESTRU-TURA</t>
  </si>
  <si>
    <t>7/26/2024</t>
  </si>
  <si>
    <t>EMULSÃO ASFÁLTICA PARA SERVIÇO DE IMPRIMAÇÃO</t>
  </si>
  <si>
    <t>002</t>
  </si>
  <si>
    <t>SINAPI  DESONERADO - MÊS 01/2026 - DATA DE EMISSÃO: 10/02/2026</t>
  </si>
  <si>
    <r>
      <t xml:space="preserve">TRANSPORTE COM CAMINHÃO BASCULANTE DE 10 M³, EM VIA URBANA PAVIMENTADA, ADICIONAL PARA DMT EXCEDENTE A 30 KM (UNIDADE: M3XKM). AF_07/2020 </t>
    </r>
    <r>
      <rPr>
        <sz val="11"/>
        <color rgb="FFFF0000"/>
        <rFont val="Aptos Narrow"/>
        <family val="2"/>
        <scheme val="minor"/>
      </rPr>
      <t>(MASSA CBUQ - USINA&gt;OBRA - DMT ATÉ 54,00KM)</t>
    </r>
  </si>
  <si>
    <t>COMPOSIÇÃO BASEADA NA TABELA SINAPI CÓDIGO N° 102470 - COMPOSIÇÃO SEM CUSTO SINAPI;
O VALOR DA EMULSÃO ASFÁLTICA PARA SERVIÇO DE IMPRIMAÇÃO FOI RETIRADO DA TABELA ANP- AGÊNCIA NACIONAL DO PETRÓLEO, GÁS NATURAL E BIOCOMBUSTÍVEIS (ANP) - REGIÃO SUDESTE - FEV/26.</t>
  </si>
  <si>
    <t>AVENIDA ADÃO DIAS</t>
  </si>
  <si>
    <t>94268</t>
  </si>
  <si>
    <t>GUIA (MEIO-FIO) E SARJETA CONJUGADOS DE CONCRETO, MOLDADA IN LOCO EM TRECHO CURVO COM EXTRUSORA, 45 CM BASE (15 CM BASE DA GUIA + 30 CM BASE DA SARJETA) X 22 CM ALTURA. AF_01/2024</t>
  </si>
  <si>
    <r>
      <t xml:space="preserve">TRANSPORTE COM CAMINHÃO TANQUE DE TRANSPORTE DE MATERIAL ASFÁLTICO DE 30000 L, EM VIA URBANA PAVIMENTADA, ADICIONAL PARA DMT EXCEDENTE A 30 KM (UNIDADE: TXKM). AF_07/2020 </t>
    </r>
    <r>
      <rPr>
        <sz val="11"/>
        <color rgb="FFFF0000"/>
        <rFont val="Aptos Narrow"/>
        <family val="2"/>
        <scheme val="minor"/>
      </rPr>
      <t>(EMULSÃO ASFÁLTICA RR-2C PARA SERVIÇO DE PINTURA DE LIGAÇÃO - REFINARIA&gt;OBRA  - DMT ATÉ 30,00KM - DMT TOTAL ATÉ 457,00KM)</t>
    </r>
  </si>
  <si>
    <t>ASSENTAMENTO DE GUIA (MEIO-FIO) EM TRECHO RETO, CONFECCIONADA EM CONCRETO PRÉ-FABRICADO, DIMENSÕES 100X15X13X30 CM (COMPRIMENTO X BASE INFERIOR X BASE SUPERIOR X ALTURA). AF_01/2024</t>
  </si>
  <si>
    <t>94273</t>
  </si>
  <si>
    <r>
      <t xml:space="preserve">TRANSPORTE COM CAMINHÃO TANQUE DE TRANSPORTE DE MATERIAL ASFÁLTICO DE 30000 L, EM VIA URBANA PAVIMENTADA, ADICIONAL PARA DMT EXCEDENTE A 30 KM (UNIDADE: TXKM). AF_07/2020 </t>
    </r>
    <r>
      <rPr>
        <sz val="11"/>
        <color rgb="FFFF0000"/>
        <rFont val="Aptos Narrow"/>
        <family val="2"/>
        <scheme val="minor"/>
      </rPr>
      <t>(EMULSÃO ASFÁLTICA PARA SERVIÇO DE IMPRIMAÇÃO - REFINARIA&gt;OBRA - DMT EXCEDENTE A 30,00KM - DMT TOTAL ATÉ 457,00KM)</t>
    </r>
  </si>
  <si>
    <t>segunda-feira, 08 de abril de 2026</t>
  </si>
  <si>
    <t>20+20= 40 pontos
- AVENIDA MONTES CLAROS: 20 Pontos
- AVENIDA ADÃO DIAS: 20 Pontos</t>
  </si>
  <si>
    <t>2612,77 m² + 3193,74 m²= 5.806,51 m²
- AVENIDA MONTES CLAROS: 991,74 m²+36,57 m²+1584,46 m² = 2612,77 m²
- AVENIDA ADÃO DIAS: 3193,74 m²</t>
  </si>
  <si>
    <t>597,02 TxKm+ 729,7 TxKm= 1.326,79 TxKm
- AVENIDA MONTES CLAROS: 2612,77 m² x 0,0005 (T/m²) x 457 Km = 597,02 TxKm
- AVENIDA ADÃO DIAS: 3193,74 m² x 0,0005 (T/m²) x 457 Km =729,77 TxKm</t>
  </si>
  <si>
    <t>1.432,84 TxKm+ 1.751,45 TxKm= 3.184,29 TxKm
- AVENIDA MONTES CLAROS: 2612,77 m² x 0,0012 (T/m²) x 457 Km = 1.432,84 TxKm
- AVENIDA ADÃO DIAS: 3193,74 m² x 0,0012 (T/m²) x 457 Km =1.751,45 TxKm</t>
  </si>
  <si>
    <t>78,38 m³ + 95,81 m³= 174,2 m³
- AVENIDA MONTES CLAROS: 2612,77 m² x 0,03 m = 78,38 m³
- AVENIDA ADÃO DIAS: 3193,74 m² x 0,03m = 95,81 m³</t>
  </si>
  <si>
    <t xml:space="preserve"> 4.232,69 m³ x Km + 5.173,86 m³ x Km= 9406,55 m³ x Km
- AVENIDA MONTES CLAROS: 78,38 m³ x 54 km= 4.232,69 m³ x Km
- AVENIDA ADÃO DIAS: 95,81 m³ x 54 km = 5.173,86 m³ x Km</t>
  </si>
  <si>
    <t>854,80 m + 853,12 m= 1707,92 m
- AVENIDA MONTES CLAROS: (12,08+5,58+8,29+8,21+11,6+10,04+29,12+22,6+20,32+25,7+8,56)+(12,11+6,25+9,5+9,4+12,56+10,6+29,27+22,6+20,25+25,46+8,46)+(16,32+38+36,03+46,66+50,06+47,43+23,37+4,84)+(16,37+38,17+36,19+46,69+50,03+47,51+23,5+5,07)= 854,80 m
- AVENIDA ADÃO DIAS: 135,74+137,65+52,3+1,36+19,31+4,93+10,64+44,84+45,55+11,18+17,54+23,86+64,12+284,1= 853,12 m</t>
  </si>
  <si>
    <t>21,26m
- AVENIDA ADÃO DIAS: (1,86+4,16+1,2+6,43+2,81+4,8)= 21,26m</t>
  </si>
  <si>
    <t>13,80 m + 36,06 m= 49,86 m
- AVENIDA MONTES CLAROS: 6,9+6,9= 13,80 m
- AVENIDA ADÃO DIAS: 5,05+7,9+5,9+8,87+8,34 = 36,06 m</t>
  </si>
  <si>
    <t>1.4</t>
  </si>
  <si>
    <t>MEIO-FIO / DRENAGEM</t>
  </si>
  <si>
    <t>IMPRIMAÇÃO E PINTURA DE LIGAÇÃO</t>
  </si>
  <si>
    <t>1.3.1</t>
  </si>
  <si>
    <t>1.3.2</t>
  </si>
  <si>
    <t>1.4.1</t>
  </si>
  <si>
    <t>1.4.2</t>
  </si>
  <si>
    <t>1.4.3</t>
  </si>
  <si>
    <t>SERVIÇOS PRELIMINARES</t>
  </si>
  <si>
    <t>PAVIMENTAÇÃO ASFÁLTICA EM CBUQ EM VIAS URBANAS DO DISTRITO DE SÃO ROBERTO DE MINAS, MUNICÍPIO DE SÃO JOÃO DA LAGOA - MG</t>
  </si>
  <si>
    <t>MG20264927891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</si>
</sst>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&quot;R$ &quot;* #,##0.00_);_(&quot;R$ &quot;* \(#,##0.00\);_(&quot;R$ &quot;* \-??_);_(@_)"/>
    <numFmt numFmtId="165" formatCode="General;General"/>
    <numFmt numFmtId="166" formatCode="[$-F800]dddd\,\ mmmm\ dd\,\ yyyy"/>
    <numFmt numFmtId="167" formatCode="dd&quot; de &quot;mmmm&quot; de &quot;yyyy"/>
    <numFmt numFmtId="168" formatCode="_(* #,##0.00_);_(* \(#,##0.00\);_(* \-??_);_(@_)"/>
    <numFmt numFmtId="169" formatCode="0\."/>
    <numFmt numFmtId="170" formatCode="_-* #,##0.00_-;\-* #,##0.00_-;_-* \-??_-;_-@_-"/>
    <numFmt numFmtId="171" formatCode="_(\ #,##0.00_);_(&quot; (&quot;#,##0.00\);_(&quot; -&quot;??_);_(@_)"/>
    <numFmt numFmtId="172" formatCode="mm/yy"/>
    <numFmt numFmtId="173" formatCode="_(* #,##0.000_);_(* \(#,##0.000\);_(* \-??_);_(@_)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8"/>
      <name val="Aptos Narrow"/>
      <family val="2"/>
      <scheme val="minor"/>
    </font>
    <font>
      <sz val="10"/>
      <color indexed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42"/>
      </patternFill>
    </fill>
    <fill>
      <patternFill patternType="solid">
        <fgColor theme="2" tint="-0.499984740745262"/>
        <bgColor indexed="26"/>
      </patternFill>
    </fill>
    <fill>
      <patternFill patternType="lightUp"/>
    </fill>
    <fill>
      <patternFill patternType="solid">
        <fgColor theme="1" tint="0.34998626667073579"/>
        <bgColor indexed="5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rgb="FFFFFF9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164" fontId="3" fillId="0" borderId="0" applyFill="0" applyBorder="0" applyAlignment="0" applyProtection="0"/>
    <xf numFmtId="0" fontId="19" fillId="0" borderId="0"/>
    <xf numFmtId="170" fontId="3" fillId="0" borderId="0" applyFill="0" applyBorder="0" applyAlignment="0" applyProtection="0"/>
    <xf numFmtId="9" fontId="3" fillId="0" borderId="0" applyFill="0" applyBorder="0" applyAlignment="0" applyProtection="0"/>
  </cellStyleXfs>
  <cellXfs count="313">
    <xf numFmtId="0" fontId="0" fillId="0" borderId="0" xfId="0"/>
    <xf numFmtId="0" fontId="8" fillId="0" borderId="3" xfId="2" applyFont="1" applyBorder="1" applyAlignment="1">
      <alignment horizontal="center" vertical="center"/>
    </xf>
    <xf numFmtId="10" fontId="8" fillId="2" borderId="3" xfId="2" applyNumberFormat="1" applyFont="1" applyFill="1" applyBorder="1" applyAlignment="1" applyProtection="1">
      <alignment horizontal="center" vertical="center"/>
      <protection locked="0"/>
    </xf>
    <xf numFmtId="10" fontId="8" fillId="0" borderId="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10" fontId="7" fillId="4" borderId="3" xfId="2" applyNumberFormat="1" applyFont="1" applyFill="1" applyBorder="1" applyAlignment="1">
      <alignment horizontal="center" vertical="center"/>
    </xf>
    <xf numFmtId="10" fontId="0" fillId="0" borderId="0" xfId="0" applyNumberFormat="1"/>
    <xf numFmtId="0" fontId="0" fillId="5" borderId="0" xfId="2" applyFont="1" applyFill="1" applyAlignment="1">
      <alignment horizontal="center" vertical="top"/>
    </xf>
    <xf numFmtId="0" fontId="11" fillId="5" borderId="0" xfId="2" applyFont="1" applyFill="1" applyAlignment="1">
      <alignment horizontal="center" vertical="top"/>
    </xf>
    <xf numFmtId="0" fontId="0" fillId="5" borderId="0" xfId="2" applyFont="1" applyFill="1"/>
    <xf numFmtId="167" fontId="0" fillId="5" borderId="0" xfId="2" applyNumberFormat="1" applyFont="1" applyFill="1"/>
    <xf numFmtId="0" fontId="5" fillId="5" borderId="5" xfId="2" applyFont="1" applyFill="1" applyBorder="1" applyAlignment="1">
      <alignment horizontal="left"/>
    </xf>
    <xf numFmtId="0" fontId="0" fillId="5" borderId="5" xfId="2" applyFont="1" applyFill="1" applyBorder="1"/>
    <xf numFmtId="0" fontId="8" fillId="5" borderId="0" xfId="2" applyFont="1" applyFill="1"/>
    <xf numFmtId="0" fontId="5" fillId="5" borderId="0" xfId="3" applyFont="1" applyFill="1" applyAlignment="1">
      <alignment horizontal="left" vertical="top"/>
    </xf>
    <xf numFmtId="0" fontId="6" fillId="5" borderId="0" xfId="2" applyFont="1" applyFill="1" applyAlignment="1">
      <alignment horizontal="left"/>
    </xf>
    <xf numFmtId="0" fontId="0" fillId="5" borderId="0" xfId="0" applyFill="1"/>
    <xf numFmtId="0" fontId="4" fillId="5" borderId="0" xfId="2" applyFont="1" applyFill="1" applyAlignment="1">
      <alignment horizontal="center"/>
    </xf>
    <xf numFmtId="0" fontId="5" fillId="5" borderId="0" xfId="2" applyFont="1" applyFill="1"/>
    <xf numFmtId="0" fontId="0" fillId="5" borderId="10" xfId="0" applyFill="1" applyBorder="1"/>
    <xf numFmtId="0" fontId="0" fillId="5" borderId="12" xfId="0" applyFill="1" applyBorder="1"/>
    <xf numFmtId="0" fontId="0" fillId="5" borderId="11" xfId="0" applyFill="1" applyBorder="1"/>
    <xf numFmtId="0" fontId="0" fillId="5" borderId="14" xfId="0" applyFill="1" applyBorder="1"/>
    <xf numFmtId="0" fontId="0" fillId="5" borderId="13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8" borderId="8" xfId="0" applyFill="1" applyBorder="1"/>
    <xf numFmtId="0" fontId="0" fillId="8" borderId="4" xfId="0" applyFill="1" applyBorder="1"/>
    <xf numFmtId="0" fontId="0" fillId="8" borderId="9" xfId="0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49" fontId="5" fillId="7" borderId="19" xfId="0" applyNumberFormat="1" applyFont="1" applyFill="1" applyBorder="1" applyAlignment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 shrinkToFit="1"/>
    </xf>
    <xf numFmtId="0" fontId="2" fillId="14" borderId="19" xfId="0" applyFont="1" applyFill="1" applyBorder="1" applyAlignment="1" applyProtection="1">
      <alignment horizontal="left" vertical="center" wrapText="1"/>
      <protection locked="0"/>
    </xf>
    <xf numFmtId="0" fontId="2" fillId="14" borderId="19" xfId="0" applyFont="1" applyFill="1" applyBorder="1" applyAlignment="1" applyProtection="1">
      <alignment horizontal="center" vertical="center" wrapText="1"/>
      <protection locked="0"/>
    </xf>
    <xf numFmtId="168" fontId="2" fillId="12" borderId="19" xfId="1" applyNumberFormat="1" applyFont="1" applyFill="1" applyBorder="1" applyAlignment="1" applyProtection="1">
      <alignment vertical="center" shrinkToFit="1"/>
    </xf>
    <xf numFmtId="43" fontId="2" fillId="14" borderId="19" xfId="1" applyFont="1" applyFill="1" applyBorder="1" applyAlignment="1" applyProtection="1">
      <alignment vertical="center" wrapText="1"/>
      <protection locked="0"/>
    </xf>
    <xf numFmtId="168" fontId="2" fillId="12" borderId="19" xfId="1" applyNumberFormat="1" applyFont="1" applyFill="1" applyBorder="1" applyAlignment="1" applyProtection="1">
      <alignment horizontal="center" vertical="center" shrinkToFit="1"/>
    </xf>
    <xf numFmtId="0" fontId="2" fillId="9" borderId="19" xfId="0" applyFont="1" applyFill="1" applyBorder="1" applyAlignment="1">
      <alignment vertical="center" wrapText="1" shrinkToFit="1"/>
    </xf>
    <xf numFmtId="49" fontId="2" fillId="10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11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19" xfId="0" applyFont="1" applyFill="1" applyBorder="1" applyAlignment="1" applyProtection="1">
      <alignment horizontal="left" vertical="center" wrapText="1"/>
      <protection locked="0"/>
    </xf>
    <xf numFmtId="0" fontId="2" fillId="11" borderId="19" xfId="0" applyFont="1" applyFill="1" applyBorder="1" applyAlignment="1" applyProtection="1">
      <alignment horizontal="center" vertical="center" wrapText="1"/>
      <protection locked="0"/>
    </xf>
    <xf numFmtId="168" fontId="2" fillId="9" borderId="19" xfId="1" applyNumberFormat="1" applyFont="1" applyFill="1" applyBorder="1" applyAlignment="1" applyProtection="1">
      <alignment vertical="center" shrinkToFit="1"/>
    </xf>
    <xf numFmtId="43" fontId="2" fillId="11" borderId="19" xfId="1" applyFont="1" applyFill="1" applyBorder="1" applyAlignment="1" applyProtection="1">
      <alignment vertical="center" wrapText="1"/>
      <protection locked="0"/>
    </xf>
    <xf numFmtId="168" fontId="2" fillId="9" borderId="19" xfId="1" applyNumberFormat="1" applyFont="1" applyFill="1" applyBorder="1" applyAlignment="1" applyProtection="1">
      <alignment horizontal="center" vertical="center" shrinkToFit="1"/>
    </xf>
    <xf numFmtId="0" fontId="0" fillId="0" borderId="19" xfId="0" applyBorder="1" applyAlignment="1">
      <alignment vertical="center" wrapText="1" shrinkToFit="1"/>
    </xf>
    <xf numFmtId="49" fontId="0" fillId="3" borderId="19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168" fontId="0" fillId="0" borderId="19" xfId="1" applyNumberFormat="1" applyFont="1" applyFill="1" applyBorder="1" applyAlignment="1" applyProtection="1">
      <alignment vertical="center" shrinkToFit="1"/>
    </xf>
    <xf numFmtId="43" fontId="0" fillId="2" borderId="19" xfId="1" applyFont="1" applyFill="1" applyBorder="1" applyAlignment="1" applyProtection="1">
      <alignment vertical="center" wrapText="1"/>
      <protection locked="0"/>
    </xf>
    <xf numFmtId="168" fontId="0" fillId="0" borderId="19" xfId="1" applyNumberFormat="1" applyFont="1" applyFill="1" applyBorder="1" applyAlignment="1" applyProtection="1">
      <alignment horizontal="center" vertical="center" shrinkToFit="1"/>
    </xf>
    <xf numFmtId="0" fontId="8" fillId="5" borderId="0" xfId="0" applyFont="1" applyFill="1" applyAlignment="1">
      <alignment horizontal="left" wrapText="1"/>
    </xf>
    <xf numFmtId="0" fontId="7" fillId="5" borderId="12" xfId="2" applyFont="1" applyFill="1" applyBorder="1" applyAlignment="1">
      <alignment vertical="center"/>
    </xf>
    <xf numFmtId="0" fontId="5" fillId="5" borderId="0" xfId="0" applyFont="1" applyFill="1"/>
    <xf numFmtId="0" fontId="0" fillId="5" borderId="0" xfId="2" applyFont="1" applyFill="1" applyAlignment="1">
      <alignment vertical="center"/>
    </xf>
    <xf numFmtId="0" fontId="5" fillId="5" borderId="5" xfId="0" applyFont="1" applyFill="1" applyBorder="1"/>
    <xf numFmtId="0" fontId="0" fillId="5" borderId="5" xfId="0" applyFill="1" applyBorder="1"/>
    <xf numFmtId="0" fontId="0" fillId="5" borderId="5" xfId="2" applyFont="1" applyFill="1" applyBorder="1" applyAlignment="1">
      <alignment horizontal="left" vertical="top" wrapText="1"/>
    </xf>
    <xf numFmtId="0" fontId="0" fillId="5" borderId="5" xfId="2" applyFont="1" applyFill="1" applyBorder="1" applyAlignment="1">
      <alignment vertical="top" wrapText="1"/>
    </xf>
    <xf numFmtId="0" fontId="2" fillId="5" borderId="0" xfId="2" applyFont="1" applyFill="1" applyAlignment="1">
      <alignment vertical="top" wrapText="1"/>
    </xf>
    <xf numFmtId="0" fontId="2" fillId="5" borderId="21" xfId="2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49" fontId="0" fillId="2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19" xfId="1" applyNumberFormat="1" applyFont="1" applyFill="1" applyBorder="1" applyAlignment="1" applyProtection="1">
      <alignment vertical="center" wrapText="1" shrinkToFit="1"/>
    </xf>
    <xf numFmtId="43" fontId="0" fillId="2" borderId="19" xfId="1" applyFont="1" applyFill="1" applyBorder="1" applyAlignment="1" applyProtection="1">
      <alignment vertical="center" shrinkToFit="1"/>
      <protection locked="0"/>
    </xf>
    <xf numFmtId="0" fontId="5" fillId="16" borderId="19" xfId="0" applyFont="1" applyFill="1" applyBorder="1" applyAlignment="1">
      <alignment horizontal="center" vertical="center"/>
    </xf>
    <xf numFmtId="4" fontId="5" fillId="16" borderId="19" xfId="0" applyNumberFormat="1" applyFont="1" applyFill="1" applyBorder="1" applyAlignment="1">
      <alignment horizontal="right" vertical="center" shrinkToFit="1"/>
    </xf>
    <xf numFmtId="0" fontId="2" fillId="9" borderId="19" xfId="0" applyFont="1" applyFill="1" applyBorder="1" applyAlignment="1">
      <alignment horizontal="left" vertical="center" wrapText="1"/>
    </xf>
    <xf numFmtId="0" fontId="2" fillId="9" borderId="19" xfId="0" applyFont="1" applyFill="1" applyBorder="1" applyAlignment="1">
      <alignment horizontal="center" vertical="center" wrapText="1"/>
    </xf>
    <xf numFmtId="49" fontId="2" fillId="11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18" fillId="9" borderId="19" xfId="1" applyNumberFormat="1" applyFont="1" applyFill="1" applyBorder="1" applyAlignment="1" applyProtection="1">
      <alignment vertical="center" wrapText="1" shrinkToFit="1"/>
    </xf>
    <xf numFmtId="43" fontId="2" fillId="11" borderId="19" xfId="1" applyFont="1" applyFill="1" applyBorder="1" applyAlignment="1" applyProtection="1">
      <alignment vertical="center" shrinkToFit="1"/>
      <protection locked="0"/>
    </xf>
    <xf numFmtId="0" fontId="17" fillId="9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5" borderId="0" xfId="2" applyFont="1" applyFill="1" applyAlignment="1">
      <alignment horizontal="left" vertical="center" wrapText="1"/>
    </xf>
    <xf numFmtId="0" fontId="13" fillId="5" borderId="0" xfId="4" applyNumberFormat="1" applyFont="1" applyFill="1" applyBorder="1" applyAlignment="1" applyProtection="1">
      <alignment horizontal="left" vertical="center" wrapText="1"/>
    </xf>
    <xf numFmtId="0" fontId="2" fillId="9" borderId="19" xfId="0" applyFont="1" applyFill="1" applyBorder="1" applyAlignment="1">
      <alignment vertical="center"/>
    </xf>
    <xf numFmtId="0" fontId="2" fillId="9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5" borderId="17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170" fontId="0" fillId="8" borderId="0" xfId="6" applyFont="1" applyFill="1" applyBorder="1" applyAlignment="1" applyProtection="1">
      <alignment horizontal="center" vertical="center"/>
    </xf>
    <xf numFmtId="0" fontId="20" fillId="5" borderId="19" xfId="5" applyFont="1" applyFill="1" applyBorder="1" applyAlignment="1" applyProtection="1">
      <alignment horizontal="center" vertical="center"/>
      <protection locked="0"/>
    </xf>
    <xf numFmtId="0" fontId="20" fillId="0" borderId="19" xfId="5" applyFont="1" applyBorder="1" applyAlignment="1">
      <alignment horizontal="center" vertical="center"/>
    </xf>
    <xf numFmtId="172" fontId="20" fillId="5" borderId="19" xfId="5" applyNumberFormat="1" applyFont="1" applyFill="1" applyBorder="1" applyAlignment="1" applyProtection="1">
      <alignment horizontal="center" vertical="center"/>
      <protection locked="0"/>
    </xf>
    <xf numFmtId="169" fontId="21" fillId="0" borderId="19" xfId="5" applyNumberFormat="1" applyFont="1" applyBorder="1" applyAlignment="1">
      <alignment horizontal="left" vertical="center"/>
    </xf>
    <xf numFmtId="171" fontId="1" fillId="0" borderId="19" xfId="1" applyNumberFormat="1" applyFill="1" applyBorder="1" applyAlignment="1" applyProtection="1">
      <alignment horizontal="right" vertical="center" shrinkToFit="1"/>
    </xf>
    <xf numFmtId="171" fontId="0" fillId="0" borderId="19" xfId="1" applyNumberFormat="1" applyFont="1" applyFill="1" applyBorder="1" applyAlignment="1" applyProtection="1">
      <alignment horizontal="center" vertical="center"/>
    </xf>
    <xf numFmtId="10" fontId="15" fillId="0" borderId="19" xfId="7" applyNumberFormat="1" applyFont="1" applyFill="1" applyBorder="1" applyAlignment="1" applyProtection="1">
      <alignment horizontal="center" vertical="center"/>
    </xf>
    <xf numFmtId="0" fontId="21" fillId="8" borderId="0" xfId="5" applyFont="1" applyFill="1" applyAlignment="1">
      <alignment vertical="center"/>
    </xf>
    <xf numFmtId="170" fontId="0" fillId="4" borderId="19" xfId="6" applyFont="1" applyFill="1" applyBorder="1" applyAlignment="1" applyProtection="1">
      <alignment horizontal="right" vertical="center"/>
    </xf>
    <xf numFmtId="10" fontId="15" fillId="5" borderId="19" xfId="7" applyNumberFormat="1" applyFont="1" applyFill="1" applyBorder="1" applyAlignment="1" applyProtection="1">
      <alignment horizontal="center" vertical="center"/>
    </xf>
    <xf numFmtId="170" fontId="5" fillId="4" borderId="19" xfId="6" applyFont="1" applyFill="1" applyBorder="1" applyAlignment="1" applyProtection="1">
      <alignment horizontal="right" vertical="center"/>
    </xf>
    <xf numFmtId="170" fontId="22" fillId="18" borderId="19" xfId="6" applyFont="1" applyFill="1" applyBorder="1" applyAlignment="1" applyProtection="1">
      <alignment horizontal="center" vertical="center" shrinkToFit="1"/>
    </xf>
    <xf numFmtId="10" fontId="15" fillId="5" borderId="0" xfId="7" applyNumberFormat="1" applyFont="1" applyFill="1" applyBorder="1" applyAlignment="1" applyProtection="1">
      <alignment horizontal="center" vertical="center"/>
    </xf>
    <xf numFmtId="0" fontId="21" fillId="8" borderId="6" xfId="5" applyFont="1" applyFill="1" applyBorder="1" applyAlignment="1">
      <alignment vertical="center"/>
    </xf>
    <xf numFmtId="10" fontId="21" fillId="0" borderId="19" xfId="5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textRotation="90" wrapText="1"/>
    </xf>
    <xf numFmtId="0" fontId="12" fillId="5" borderId="0" xfId="0" applyFont="1" applyFill="1" applyAlignment="1">
      <alignment horizontal="center" vertical="center"/>
    </xf>
    <xf numFmtId="0" fontId="0" fillId="19" borderId="19" xfId="0" applyFill="1" applyBorder="1" applyAlignment="1">
      <alignment vertical="center" wrapText="1"/>
    </xf>
    <xf numFmtId="0" fontId="0" fillId="0" borderId="19" xfId="0" applyBorder="1" applyAlignment="1">
      <alignment horizontal="justify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3" fillId="5" borderId="0" xfId="2" applyFill="1"/>
    <xf numFmtId="0" fontId="2" fillId="0" borderId="15" xfId="0" applyFont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 wrapText="1"/>
    </xf>
    <xf numFmtId="168" fontId="0" fillId="19" borderId="19" xfId="1" applyNumberFormat="1" applyFont="1" applyFill="1" applyBorder="1" applyAlignment="1" applyProtection="1">
      <alignment vertical="center" shrinkToFit="1"/>
    </xf>
    <xf numFmtId="10" fontId="0" fillId="5" borderId="20" xfId="2" applyNumberFormat="1" applyFont="1" applyFill="1" applyBorder="1" applyAlignment="1">
      <alignment horizontal="center" vertical="center" wrapText="1"/>
    </xf>
    <xf numFmtId="43" fontId="0" fillId="0" borderId="0" xfId="0" applyNumberFormat="1"/>
    <xf numFmtId="2" fontId="0" fillId="0" borderId="0" xfId="0" applyNumberFormat="1"/>
    <xf numFmtId="10" fontId="21" fillId="0" borderId="19" xfId="5" applyNumberFormat="1" applyFont="1" applyBorder="1" applyAlignment="1">
      <alignment horizontal="left" vertical="center" wrapText="1"/>
    </xf>
    <xf numFmtId="0" fontId="5" fillId="5" borderId="0" xfId="3" applyFont="1" applyFill="1" applyAlignment="1">
      <alignment horizontal="left" vertical="center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1" fontId="0" fillId="0" borderId="0" xfId="0" applyNumberFormat="1"/>
    <xf numFmtId="0" fontId="0" fillId="5" borderId="12" xfId="2" applyFont="1" applyFill="1" applyBorder="1" applyAlignment="1">
      <alignment horizontal="center" vertical="center" wrapText="1"/>
    </xf>
    <xf numFmtId="0" fontId="24" fillId="21" borderId="19" xfId="0" applyFont="1" applyFill="1" applyBorder="1" applyAlignment="1">
      <alignment horizontal="center" vertical="center" wrapText="1"/>
    </xf>
    <xf numFmtId="49" fontId="25" fillId="22" borderId="19" xfId="0" applyNumberFormat="1" applyFont="1" applyFill="1" applyBorder="1" applyAlignment="1">
      <alignment horizontal="center" vertical="center" wrapText="1"/>
    </xf>
    <xf numFmtId="0" fontId="25" fillId="22" borderId="19" xfId="0" applyFont="1" applyFill="1" applyBorder="1" applyAlignment="1">
      <alignment horizontal="center" vertical="center" wrapText="1"/>
    </xf>
    <xf numFmtId="14" fontId="25" fillId="22" borderId="19" xfId="0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center" wrapText="1"/>
    </xf>
    <xf numFmtId="0" fontId="24" fillId="0" borderId="19" xfId="0" applyFont="1" applyBorder="1" applyAlignment="1">
      <alignment horizontal="right" vertical="center" wrapText="1"/>
    </xf>
    <xf numFmtId="2" fontId="24" fillId="0" borderId="19" xfId="0" applyNumberFormat="1" applyFont="1" applyBorder="1" applyAlignment="1">
      <alignment horizontal="right" wrapText="1"/>
    </xf>
    <xf numFmtId="0" fontId="24" fillId="0" borderId="19" xfId="0" applyFont="1" applyBorder="1" applyAlignment="1">
      <alignment horizontal="right" wrapText="1"/>
    </xf>
    <xf numFmtId="0" fontId="26" fillId="0" borderId="19" xfId="0" applyFont="1" applyBorder="1" applyAlignment="1">
      <alignment vertical="center" wrapText="1"/>
    </xf>
    <xf numFmtId="0" fontId="26" fillId="22" borderId="19" xfId="0" applyFont="1" applyFill="1" applyBorder="1" applyAlignment="1">
      <alignment vertical="center" wrapText="1"/>
    </xf>
    <xf numFmtId="2" fontId="24" fillId="0" borderId="19" xfId="0" applyNumberFormat="1" applyFont="1" applyBorder="1" applyAlignment="1">
      <alignment horizontal="right" vertical="center" wrapText="1"/>
    </xf>
    <xf numFmtId="0" fontId="5" fillId="5" borderId="6" xfId="3" applyFont="1" applyFill="1" applyBorder="1" applyAlignment="1">
      <alignment vertical="top"/>
    </xf>
    <xf numFmtId="0" fontId="26" fillId="5" borderId="0" xfId="0" applyFont="1" applyFill="1" applyAlignment="1">
      <alignment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vertical="center" wrapText="1"/>
    </xf>
    <xf numFmtId="0" fontId="0" fillId="5" borderId="19" xfId="0" applyFill="1" applyBorder="1" applyAlignment="1">
      <alignment horizontal="center" vertical="center"/>
    </xf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24" fillId="9" borderId="19" xfId="0" applyFont="1" applyFill="1" applyBorder="1" applyAlignment="1">
      <alignment horizontal="center" vertical="center"/>
    </xf>
    <xf numFmtId="0" fontId="24" fillId="9" borderId="19" xfId="0" applyFont="1" applyFill="1" applyBorder="1" applyAlignment="1">
      <alignment horizontal="left" vertical="center" wrapText="1"/>
    </xf>
    <xf numFmtId="0" fontId="24" fillId="9" borderId="19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29" fillId="5" borderId="8" xfId="2" applyFont="1" applyFill="1" applyBorder="1" applyAlignment="1">
      <alignment vertical="top" wrapText="1"/>
    </xf>
    <xf numFmtId="0" fontId="29" fillId="5" borderId="5" xfId="2" applyFont="1" applyFill="1" applyBorder="1" applyAlignment="1">
      <alignment horizontal="left" vertical="top" wrapText="1"/>
    </xf>
    <xf numFmtId="0" fontId="29" fillId="5" borderId="5" xfId="2" applyFont="1" applyFill="1" applyBorder="1" applyAlignment="1">
      <alignment vertical="top" wrapText="1"/>
    </xf>
    <xf numFmtId="0" fontId="31" fillId="5" borderId="21" xfId="0" applyFont="1" applyFill="1" applyBorder="1"/>
    <xf numFmtId="0" fontId="31" fillId="5" borderId="14" xfId="2" applyFont="1" applyFill="1" applyBorder="1" applyAlignment="1">
      <alignment vertical="top" wrapText="1"/>
    </xf>
    <xf numFmtId="0" fontId="31" fillId="5" borderId="21" xfId="2" applyFont="1" applyFill="1" applyBorder="1" applyAlignment="1">
      <alignment horizontal="center" vertical="top" wrapText="1"/>
    </xf>
    <xf numFmtId="0" fontId="29" fillId="5" borderId="20" xfId="0" applyFont="1" applyFill="1" applyBorder="1" applyAlignment="1">
      <alignment horizontal="left" vertical="center" wrapText="1"/>
    </xf>
    <xf numFmtId="0" fontId="29" fillId="5" borderId="13" xfId="2" applyFont="1" applyFill="1" applyBorder="1" applyAlignment="1">
      <alignment vertical="center" wrapText="1"/>
    </xf>
    <xf numFmtId="10" fontId="29" fillId="5" borderId="20" xfId="2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wrapText="1"/>
    </xf>
    <xf numFmtId="2" fontId="25" fillId="0" borderId="24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26" fillId="5" borderId="0" xfId="0" applyFont="1" applyFill="1" applyAlignment="1">
      <alignment horizontal="center" wrapText="1"/>
    </xf>
    <xf numFmtId="43" fontId="0" fillId="0" borderId="0" xfId="0" applyNumberFormat="1" applyAlignment="1">
      <alignment vertical="center"/>
    </xf>
    <xf numFmtId="0" fontId="2" fillId="12" borderId="19" xfId="0" applyFont="1" applyFill="1" applyBorder="1" applyAlignment="1">
      <alignment horizontal="left" vertical="center" wrapText="1" shrinkToFit="1"/>
    </xf>
    <xf numFmtId="0" fontId="0" fillId="23" borderId="19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3" applyFont="1" applyFill="1" applyBorder="1" applyAlignment="1">
      <alignment horizontal="left" vertical="top"/>
    </xf>
    <xf numFmtId="0" fontId="6" fillId="5" borderId="2" xfId="4" applyNumberFormat="1" applyFont="1" applyFill="1" applyBorder="1" applyAlignment="1" applyProtection="1">
      <alignment horizontal="left" wrapText="1"/>
    </xf>
    <xf numFmtId="0" fontId="6" fillId="0" borderId="3" xfId="2" applyFont="1" applyBorder="1" applyAlignment="1">
      <alignment horizontal="left" wrapText="1"/>
    </xf>
    <xf numFmtId="10" fontId="6" fillId="2" borderId="3" xfId="2" applyNumberFormat="1" applyFont="1" applyFill="1" applyBorder="1" applyAlignment="1" applyProtection="1">
      <alignment horizontal="center"/>
      <protection locked="0"/>
    </xf>
    <xf numFmtId="0" fontId="6" fillId="0" borderId="3" xfId="2" applyFont="1" applyBorder="1" applyAlignment="1">
      <alignment horizontal="left"/>
    </xf>
    <xf numFmtId="0" fontId="0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center"/>
    </xf>
    <xf numFmtId="0" fontId="5" fillId="0" borderId="1" xfId="3" applyFont="1" applyBorder="1" applyAlignment="1">
      <alignment horizontal="left" vertical="top"/>
    </xf>
    <xf numFmtId="164" fontId="6" fillId="3" borderId="2" xfId="4" applyFont="1" applyFill="1" applyBorder="1" applyAlignment="1" applyProtection="1">
      <alignment horizontal="left"/>
      <protection locked="0"/>
    </xf>
    <xf numFmtId="0" fontId="7" fillId="0" borderId="3" xfId="2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 wrapText="1"/>
    </xf>
    <xf numFmtId="0" fontId="6" fillId="5" borderId="3" xfId="2" applyFont="1" applyFill="1" applyBorder="1" applyAlignment="1">
      <alignment horizontal="left" vertical="center" wrapText="1"/>
    </xf>
    <xf numFmtId="0" fontId="8" fillId="4" borderId="3" xfId="2" applyFont="1" applyFill="1" applyBorder="1" applyAlignment="1">
      <alignment horizontal="left" vertical="center" wrapText="1"/>
    </xf>
    <xf numFmtId="0" fontId="0" fillId="5" borderId="0" xfId="2" applyFont="1" applyFill="1" applyAlignment="1">
      <alignment horizontal="center" vertical="center"/>
    </xf>
    <xf numFmtId="0" fontId="6" fillId="5" borderId="0" xfId="2" applyFont="1" applyFill="1" applyAlignment="1">
      <alignment horizontal="center" vertical="center"/>
    </xf>
    <xf numFmtId="0" fontId="6" fillId="5" borderId="0" xfId="2" applyFont="1" applyFill="1" applyAlignment="1">
      <alignment horizontal="left" vertical="center"/>
    </xf>
    <xf numFmtId="0" fontId="5" fillId="5" borderId="6" xfId="3" applyFont="1" applyFill="1" applyBorder="1" applyAlignment="1">
      <alignment horizontal="left" vertical="top"/>
    </xf>
    <xf numFmtId="0" fontId="5" fillId="5" borderId="0" xfId="3" applyFont="1" applyFill="1" applyAlignment="1">
      <alignment horizontal="left" vertical="top"/>
    </xf>
    <xf numFmtId="0" fontId="5" fillId="5" borderId="7" xfId="3" applyFont="1" applyFill="1" applyBorder="1" applyAlignment="1">
      <alignment horizontal="left" vertical="top"/>
    </xf>
    <xf numFmtId="0" fontId="0" fillId="5" borderId="8" xfId="2" applyFont="1" applyFill="1" applyBorder="1" applyAlignment="1">
      <alignment horizontal="left" vertical="top" wrapText="1"/>
    </xf>
    <xf numFmtId="0" fontId="0" fillId="5" borderId="4" xfId="2" applyFont="1" applyFill="1" applyBorder="1" applyAlignment="1">
      <alignment horizontal="left" vertical="top" wrapText="1"/>
    </xf>
    <xf numFmtId="0" fontId="0" fillId="5" borderId="9" xfId="2" applyFont="1" applyFill="1" applyBorder="1" applyAlignment="1">
      <alignment horizontal="left" vertical="top" wrapText="1"/>
    </xf>
    <xf numFmtId="49" fontId="0" fillId="6" borderId="3" xfId="2" applyNumberFormat="1" applyFont="1" applyFill="1" applyBorder="1" applyAlignment="1" applyProtection="1">
      <alignment horizontal="left" vertical="top" wrapText="1"/>
      <protection locked="0"/>
    </xf>
    <xf numFmtId="165" fontId="0" fillId="5" borderId="4" xfId="2" applyNumberFormat="1" applyFont="1" applyFill="1" applyBorder="1" applyAlignment="1">
      <alignment horizontal="left"/>
    </xf>
    <xf numFmtId="166" fontId="0" fillId="5" borderId="4" xfId="2" applyNumberFormat="1" applyFont="1" applyFill="1" applyBorder="1" applyAlignment="1">
      <alignment horizontal="left"/>
    </xf>
    <xf numFmtId="0" fontId="5" fillId="5" borderId="0" xfId="2" applyFont="1" applyFill="1" applyAlignment="1">
      <alignment horizontal="left" vertical="center"/>
    </xf>
    <xf numFmtId="0" fontId="7" fillId="5" borderId="0" xfId="2" applyFont="1" applyFill="1" applyAlignment="1">
      <alignment horizontal="left" vertical="center"/>
    </xf>
    <xf numFmtId="0" fontId="0" fillId="5" borderId="5" xfId="2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top"/>
    </xf>
    <xf numFmtId="0" fontId="3" fillId="5" borderId="0" xfId="2" applyFill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65" fontId="0" fillId="5" borderId="4" xfId="0" applyNumberFormat="1" applyFill="1" applyBorder="1" applyAlignment="1">
      <alignment horizontal="left"/>
    </xf>
    <xf numFmtId="0" fontId="1" fillId="5" borderId="6" xfId="2" applyFont="1" applyFill="1" applyBorder="1" applyAlignment="1">
      <alignment horizontal="center" vertical="top" wrapText="1"/>
    </xf>
    <xf numFmtId="0" fontId="1" fillId="5" borderId="0" xfId="2" applyFont="1" applyFill="1" applyAlignment="1">
      <alignment horizontal="center" vertical="top" wrapText="1"/>
    </xf>
    <xf numFmtId="0" fontId="1" fillId="5" borderId="7" xfId="2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49" fontId="2" fillId="13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3" xfId="2" applyFont="1" applyFill="1" applyBorder="1" applyAlignment="1">
      <alignment horizontal="left" vertical="top" wrapText="1"/>
    </xf>
    <xf numFmtId="0" fontId="0" fillId="5" borderId="12" xfId="2" applyFont="1" applyFill="1" applyBorder="1" applyAlignment="1">
      <alignment horizontal="left" vertical="top" wrapText="1"/>
    </xf>
    <xf numFmtId="0" fontId="0" fillId="5" borderId="11" xfId="2" applyFont="1" applyFill="1" applyBorder="1" applyAlignment="1">
      <alignment horizontal="left" vertical="top" wrapText="1"/>
    </xf>
    <xf numFmtId="0" fontId="2" fillId="5" borderId="14" xfId="2" applyFont="1" applyFill="1" applyBorder="1" applyAlignment="1">
      <alignment horizontal="center" vertical="top" wrapText="1"/>
    </xf>
    <xf numFmtId="0" fontId="2" fillId="5" borderId="0" xfId="2" applyFont="1" applyFill="1" applyAlignment="1">
      <alignment horizontal="center" vertical="top" wrapText="1"/>
    </xf>
    <xf numFmtId="0" fontId="2" fillId="5" borderId="10" xfId="2" applyFont="1" applyFill="1" applyBorder="1" applyAlignment="1">
      <alignment horizontal="center" vertical="top" wrapText="1"/>
    </xf>
    <xf numFmtId="0" fontId="0" fillId="5" borderId="13" xfId="2" applyFont="1" applyFill="1" applyBorder="1" applyAlignment="1">
      <alignment horizontal="center" vertical="center" wrapText="1"/>
    </xf>
    <xf numFmtId="0" fontId="0" fillId="5" borderId="11" xfId="2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5" fillId="5" borderId="10" xfId="3" applyFont="1" applyFill="1" applyBorder="1" applyAlignment="1">
      <alignment horizontal="left" vertical="top"/>
    </xf>
    <xf numFmtId="0" fontId="13" fillId="5" borderId="8" xfId="4" applyNumberFormat="1" applyFont="1" applyFill="1" applyBorder="1" applyAlignment="1" applyProtection="1">
      <alignment horizontal="left" vertical="top" wrapText="1"/>
    </xf>
    <xf numFmtId="0" fontId="13" fillId="5" borderId="4" xfId="4" applyNumberFormat="1" applyFont="1" applyFill="1" applyBorder="1" applyAlignment="1" applyProtection="1">
      <alignment horizontal="left" vertical="top" wrapText="1"/>
    </xf>
    <xf numFmtId="0" fontId="13" fillId="5" borderId="9" xfId="4" applyNumberFormat="1" applyFont="1" applyFill="1" applyBorder="1" applyAlignment="1" applyProtection="1">
      <alignment horizontal="left" vertical="top" wrapText="1"/>
    </xf>
    <xf numFmtId="0" fontId="5" fillId="5" borderId="14" xfId="3" applyFont="1" applyFill="1" applyBorder="1" applyAlignment="1">
      <alignment horizontal="left" vertical="center"/>
    </xf>
    <xf numFmtId="0" fontId="5" fillId="5" borderId="0" xfId="3" applyFont="1" applyFill="1" applyAlignment="1">
      <alignment horizontal="left" vertical="center"/>
    </xf>
    <xf numFmtId="0" fontId="5" fillId="5" borderId="10" xfId="3" applyFont="1" applyFill="1" applyBorder="1" applyAlignment="1">
      <alignment horizontal="left" vertical="center"/>
    </xf>
    <xf numFmtId="0" fontId="13" fillId="5" borderId="13" xfId="4" applyNumberFormat="1" applyFont="1" applyFill="1" applyBorder="1" applyAlignment="1" applyProtection="1">
      <alignment horizontal="left" vertical="center" wrapText="1"/>
    </xf>
    <xf numFmtId="0" fontId="13" fillId="5" borderId="12" xfId="4" applyNumberFormat="1" applyFont="1" applyFill="1" applyBorder="1" applyAlignment="1" applyProtection="1">
      <alignment horizontal="left" vertical="center" wrapText="1"/>
    </xf>
    <xf numFmtId="0" fontId="13" fillId="5" borderId="11" xfId="4" applyNumberFormat="1" applyFont="1" applyFill="1" applyBorder="1" applyAlignment="1" applyProtection="1">
      <alignment horizontal="left" vertical="center" wrapText="1"/>
    </xf>
    <xf numFmtId="0" fontId="20" fillId="0" borderId="19" xfId="5" applyFont="1" applyBorder="1" applyAlignment="1">
      <alignment horizontal="center" vertical="center" wrapText="1"/>
    </xf>
    <xf numFmtId="0" fontId="20" fillId="0" borderId="19" xfId="5" applyFont="1" applyBorder="1" applyAlignment="1">
      <alignment horizontal="left" vertical="center" wrapText="1"/>
    </xf>
    <xf numFmtId="170" fontId="5" fillId="0" borderId="19" xfId="6" applyFont="1" applyFill="1" applyBorder="1" applyAlignment="1" applyProtection="1">
      <alignment horizontal="center" vertical="center" wrapText="1"/>
    </xf>
    <xf numFmtId="171" fontId="5" fillId="0" borderId="19" xfId="1" applyNumberFormat="1" applyFont="1" applyFill="1" applyBorder="1" applyAlignment="1" applyProtection="1">
      <alignment horizontal="center" vertical="center"/>
    </xf>
    <xf numFmtId="0" fontId="0" fillId="5" borderId="13" xfId="2" applyFont="1" applyFill="1" applyBorder="1" applyAlignment="1">
      <alignment horizontal="left" vertical="center" wrapText="1"/>
    </xf>
    <xf numFmtId="0" fontId="0" fillId="5" borderId="11" xfId="2" applyFont="1" applyFill="1" applyBorder="1" applyAlignment="1">
      <alignment horizontal="left" vertical="center" wrapText="1"/>
    </xf>
    <xf numFmtId="170" fontId="2" fillId="4" borderId="19" xfId="6" applyFont="1" applyFill="1" applyBorder="1" applyAlignment="1" applyProtection="1">
      <alignment horizontal="center" vertical="center"/>
    </xf>
    <xf numFmtId="169" fontId="21" fillId="0" borderId="0" xfId="5" applyNumberFormat="1" applyFont="1" applyAlignment="1">
      <alignment horizontal="center" vertical="center"/>
    </xf>
    <xf numFmtId="0" fontId="0" fillId="5" borderId="17" xfId="2" applyFont="1" applyFill="1" applyBorder="1" applyAlignment="1">
      <alignment horizontal="left" vertical="center"/>
    </xf>
    <xf numFmtId="0" fontId="7" fillId="5" borderId="12" xfId="2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166" fontId="0" fillId="5" borderId="12" xfId="0" applyNumberForma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" fillId="17" borderId="22" xfId="0" applyFont="1" applyFill="1" applyBorder="1" applyAlignment="1">
      <alignment horizontal="left" vertical="center" wrapText="1"/>
    </xf>
    <xf numFmtId="0" fontId="2" fillId="17" borderId="23" xfId="0" applyFont="1" applyFill="1" applyBorder="1" applyAlignment="1">
      <alignment horizontal="left" vertical="center" wrapText="1"/>
    </xf>
    <xf numFmtId="0" fontId="2" fillId="17" borderId="24" xfId="0" applyFont="1" applyFill="1" applyBorder="1" applyAlignment="1">
      <alignment horizontal="left" vertical="center" wrapText="1"/>
    </xf>
    <xf numFmtId="0" fontId="0" fillId="5" borderId="12" xfId="2" applyFont="1" applyFill="1" applyBorder="1" applyAlignment="1">
      <alignment horizontal="left" vertical="center" wrapText="1"/>
    </xf>
    <xf numFmtId="165" fontId="0" fillId="5" borderId="12" xfId="0" applyNumberFormat="1" applyFill="1" applyBorder="1" applyAlignment="1">
      <alignment horizontal="left" vertical="center"/>
    </xf>
    <xf numFmtId="0" fontId="15" fillId="15" borderId="19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31" fillId="5" borderId="14" xfId="2" applyFont="1" applyFill="1" applyBorder="1" applyAlignment="1">
      <alignment horizontal="center" vertical="top" wrapText="1"/>
    </xf>
    <xf numFmtId="0" fontId="31" fillId="5" borderId="0" xfId="2" applyFont="1" applyFill="1" applyAlignment="1">
      <alignment horizontal="center" vertical="top" wrapText="1"/>
    </xf>
    <xf numFmtId="0" fontId="29" fillId="5" borderId="13" xfId="2" applyFont="1" applyFill="1" applyBorder="1" applyAlignment="1">
      <alignment horizontal="center" vertical="center" wrapText="1"/>
    </xf>
    <xf numFmtId="0" fontId="29" fillId="5" borderId="12" xfId="2" applyFont="1" applyFill="1" applyBorder="1" applyAlignment="1">
      <alignment horizontal="center" vertical="center" wrapText="1"/>
    </xf>
    <xf numFmtId="0" fontId="31" fillId="5" borderId="10" xfId="2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center"/>
    </xf>
    <xf numFmtId="0" fontId="5" fillId="5" borderId="14" xfId="3" applyFont="1" applyFill="1" applyBorder="1" applyAlignment="1">
      <alignment horizontal="center" vertical="top"/>
    </xf>
    <xf numFmtId="0" fontId="5" fillId="5" borderId="0" xfId="3" applyFont="1" applyFill="1" applyAlignment="1">
      <alignment horizontal="center" vertical="top"/>
    </xf>
    <xf numFmtId="0" fontId="5" fillId="5" borderId="10" xfId="3" applyFont="1" applyFill="1" applyBorder="1" applyAlignment="1">
      <alignment horizontal="center" vertical="top"/>
    </xf>
    <xf numFmtId="0" fontId="30" fillId="5" borderId="25" xfId="4" applyNumberFormat="1" applyFont="1" applyFill="1" applyBorder="1" applyAlignment="1" applyProtection="1">
      <alignment horizontal="left" vertical="top" wrapText="1"/>
    </xf>
    <xf numFmtId="0" fontId="30" fillId="5" borderId="4" xfId="4" applyNumberFormat="1" applyFont="1" applyFill="1" applyBorder="1" applyAlignment="1" applyProtection="1">
      <alignment horizontal="left" vertical="top" wrapText="1"/>
    </xf>
    <xf numFmtId="0" fontId="30" fillId="5" borderId="26" xfId="4" applyNumberFormat="1" applyFont="1" applyFill="1" applyBorder="1" applyAlignment="1" applyProtection="1">
      <alignment horizontal="left" vertical="top" wrapText="1"/>
    </xf>
    <xf numFmtId="0" fontId="5" fillId="5" borderId="0" xfId="0" applyFont="1" applyFill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29" fillId="5" borderId="11" xfId="2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6" fillId="5" borderId="12" xfId="0" applyFont="1" applyFill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4" fillId="0" borderId="19" xfId="0" applyFont="1" applyBorder="1" applyAlignment="1">
      <alignment horizontal="right" vertical="center" wrapText="1"/>
    </xf>
    <xf numFmtId="0" fontId="24" fillId="0" borderId="22" xfId="0" applyFont="1" applyBorder="1" applyAlignment="1">
      <alignment horizontal="left" wrapText="1"/>
    </xf>
    <xf numFmtId="0" fontId="24" fillId="0" borderId="23" xfId="0" applyFont="1" applyBorder="1" applyAlignment="1">
      <alignment horizontal="left" wrapText="1"/>
    </xf>
    <xf numFmtId="0" fontId="24" fillId="0" borderId="24" xfId="0" applyFont="1" applyBorder="1" applyAlignment="1">
      <alignment horizontal="left" wrapText="1"/>
    </xf>
    <xf numFmtId="0" fontId="23" fillId="20" borderId="19" xfId="0" applyFont="1" applyFill="1" applyBorder="1" applyAlignment="1">
      <alignment horizontal="center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5" fillId="22" borderId="19" xfId="0" applyFont="1" applyFill="1" applyBorder="1" applyAlignment="1">
      <alignment vertical="center" wrapText="1"/>
    </xf>
    <xf numFmtId="0" fontId="26" fillId="20" borderId="19" xfId="0" applyFont="1" applyFill="1" applyBorder="1" applyAlignment="1">
      <alignment vertical="center" wrapText="1"/>
    </xf>
    <xf numFmtId="0" fontId="25" fillId="22" borderId="19" xfId="0" applyFont="1" applyFill="1" applyBorder="1" applyAlignment="1">
      <alignment horizontal="center" vertical="center" wrapText="1"/>
    </xf>
    <xf numFmtId="0" fontId="25" fillId="22" borderId="15" xfId="0" applyFont="1" applyFill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0" fillId="5" borderId="12" xfId="0" applyFill="1" applyBorder="1" applyAlignment="1">
      <alignment horizontal="center"/>
    </xf>
    <xf numFmtId="0" fontId="28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19" xfId="0" applyFont="1" applyBorder="1" applyAlignment="1">
      <alignment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173" fontId="0" fillId="0" borderId="19" xfId="1" applyNumberFormat="1" applyFont="1" applyFill="1" applyBorder="1" applyAlignment="1" applyProtection="1">
      <alignment vertical="center" shrinkToFit="1"/>
    </xf>
  </cellXfs>
  <cellStyles count="8">
    <cellStyle name="Moeda_Composicao BDI v2.1" xfId="4" xr:uid="{77E6601F-97A9-4825-9466-8DA052584CDF}"/>
    <cellStyle name="Normal" xfId="0" builtinId="0"/>
    <cellStyle name="Normal 2" xfId="2" xr:uid="{3FE8E9BA-E88B-410F-AAEC-2B610338A376}"/>
    <cellStyle name="Normal 3" xfId="5" xr:uid="{DB485E2D-25B6-4E75-981B-8CC174FAE600}"/>
    <cellStyle name="Normal_FICHA DE VERIFICAÇÃO PRELIMINAR - Plano R" xfId="3" xr:uid="{44D01A67-047D-449D-8928-C3603CE7E120}"/>
    <cellStyle name="Porcentagem 2" xfId="7" xr:uid="{1024FC5D-2FF1-48D8-A15F-35E89DEDA41C}"/>
    <cellStyle name="Vírgula" xfId="1" builtinId="3"/>
    <cellStyle name="Vírgula 2" xfId="6" xr:uid="{41EF5ADF-E518-4D51-9D78-6981B4CDB70A}"/>
  </cellStyles>
  <dxfs count="39"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144275</xdr:colOff>
      <xdr:row>69</xdr:row>
      <xdr:rowOff>139514</xdr:rowOff>
    </xdr:from>
    <xdr:to>
      <xdr:col>8</xdr:col>
      <xdr:colOff>848693</xdr:colOff>
      <xdr:row>94</xdr:row>
      <xdr:rowOff>6164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C3CC7E-7392-08E8-8C2B-03B06DAFD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88" y="17760764"/>
          <a:ext cx="8157730" cy="46291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45663</xdr:colOff>
          <xdr:row>43</xdr:row>
          <xdr:rowOff>106456</xdr:rowOff>
        </xdr:from>
        <xdr:to>
          <xdr:col>8</xdr:col>
          <xdr:colOff>894375</xdr:colOff>
          <xdr:row>64</xdr:row>
          <xdr:rowOff>135031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ACED483D-C431-0098-5608-EE81D72F8A5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3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31476" y="12869956"/>
              <a:ext cx="8311549" cy="3933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227238</xdr:colOff>
      <xdr:row>164</xdr:row>
      <xdr:rowOff>118797</xdr:rowOff>
    </xdr:from>
    <xdr:to>
      <xdr:col>8</xdr:col>
      <xdr:colOff>862051</xdr:colOff>
      <xdr:row>188</xdr:row>
      <xdr:rowOff>61129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499EC0-97A8-19BC-D93C-0AF7FAB2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452" y="39497868"/>
          <a:ext cx="8118742" cy="4500725"/>
        </a:xfrm>
        <a:prstGeom prst="rect">
          <a:avLst/>
        </a:prstGeom>
      </xdr:spPr>
    </xdr:pic>
    <xdr:clientData/>
  </xdr:twoCellAnchor>
  <xdr:twoCellAnchor editAs="oneCell">
    <xdr:from>
      <xdr:col>2</xdr:col>
      <xdr:colOff>60834</xdr:colOff>
      <xdr:row>146</xdr:row>
      <xdr:rowOff>171289</xdr:rowOff>
    </xdr:from>
    <xdr:to>
      <xdr:col>8</xdr:col>
      <xdr:colOff>878862</xdr:colOff>
      <xdr:row>162</xdr:row>
      <xdr:rowOff>77884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3CD3FB6-BA8F-8E7E-E43E-167E7A1F8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048" y="36121360"/>
          <a:ext cx="8301957" cy="295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AVIMENTA&#199;&#195;O%202025%20-%20400%20MIL/FINAL/Pavimenta&#231;&#227;o%202%20S&#227;o%20Jo&#227;o%20da%20Lagoa%20MG.xls" TargetMode="External"/><Relationship Id="rId2" Type="http://schemas.openxmlformats.org/officeDocument/2006/relationships/externalLinkPath" Target="file:///D:\PREFEITURA\PAVIMENTA&#199;&#195;O%202025%20-%20400%20MIL\FINAL\Pavimenta&#231;&#227;o%202%20S&#227;o%20Jo&#227;o%20da%20Lagoa%20MG.xls" TargetMode="External"/><Relationship Id="rId1" Type="http://schemas.openxmlformats.org/officeDocument/2006/relationships/externalLinkPath" Target="/PREFEITURA/PAVIMENTA&#199;&#195;O%202025%20-%20400%20MIL/FINAL/Pavimenta&#231;&#227;o%202%20S&#227;o%20Jo&#227;o%20da%20Lagoa%20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>
        <row r="4">
          <cell r="F4" t="str">
            <v>(SELECIONAR)</v>
          </cell>
        </row>
        <row r="5">
          <cell r="F5" t="str">
            <v>Prefeitura Municipal de São João da Lagoa</v>
          </cell>
        </row>
        <row r="6">
          <cell r="F6" t="str">
            <v>São João da Lagoa  MG</v>
          </cell>
        </row>
        <row r="16">
          <cell r="F16" t="str">
            <v xml:space="preserve">EXECUÇÃO DE PAVIMENTAÇÃO EM BLOCO SEXTAVADO DE CONCRETO DE VIAS URBANAS E RURAIS NO MUNICÍPIO DE SÃO JOÃO DA LAGOA/MG </v>
          </cell>
        </row>
        <row r="17">
          <cell r="F17" t="str">
            <v xml:space="preserve">EXECUÇÃO DE PAVIMENTAÇÃO EM BLOCO SEXTAVADO DE CONCRETO DE VIAS URBANAS E RURAIS NO MUNICÍPIO DE SÃO JOÃO DA LAGOA/MG </v>
          </cell>
        </row>
        <row r="18">
          <cell r="F18" t="str">
            <v>DESONERADO</v>
          </cell>
        </row>
        <row r="22">
          <cell r="F22" t="str">
            <v>LEONARDO PETERSON AMARAL LIMA</v>
          </cell>
        </row>
        <row r="23">
          <cell r="F23" t="str">
            <v>331.073/D</v>
          </cell>
        </row>
        <row r="24">
          <cell r="F24" t="str">
            <v>MG20253837048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>
        <row r="7">
          <cell r="AF7" t="b">
            <v>1</v>
          </cell>
        </row>
      </sheetData>
      <sheetData sheetId="5">
        <row r="15">
          <cell r="M15">
            <v>1</v>
          </cell>
          <cell r="Q15">
            <v>104822.83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 t="str">
            <v/>
          </cell>
        </row>
        <row r="21">
          <cell r="M21">
            <v>3</v>
          </cell>
        </row>
        <row r="22">
          <cell r="M22" t="str">
            <v/>
          </cell>
        </row>
        <row r="23">
          <cell r="M23">
            <v>4</v>
          </cell>
        </row>
        <row r="24">
          <cell r="M24" t="str">
            <v/>
          </cell>
        </row>
        <row r="25">
          <cell r="M25">
            <v>5</v>
          </cell>
        </row>
        <row r="26">
          <cell r="M26">
            <v>5</v>
          </cell>
        </row>
      </sheetData>
      <sheetData sheetId="6">
        <row r="15">
          <cell r="B15" t="str">
            <v>1.Administração Local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0994-C249-443D-8B26-62C364C4E26F}">
  <dimension ref="A1:L51"/>
  <sheetViews>
    <sheetView workbookViewId="0">
      <selection activeCell="B31" sqref="B31:K31"/>
    </sheetView>
  </sheetViews>
  <sheetFormatPr defaultRowHeight="15" x14ac:dyDescent="0.25"/>
  <cols>
    <col min="1" max="1" width="2.7109375" customWidth="1"/>
    <col min="2" max="7" width="10.7109375" customWidth="1"/>
    <col min="8" max="8" width="12.85546875" customWidth="1"/>
    <col min="9" max="9" width="7.85546875" customWidth="1"/>
    <col min="10" max="11" width="10.7109375" customWidth="1"/>
    <col min="12" max="12" width="3.7109375" customWidth="1"/>
  </cols>
  <sheetData>
    <row r="1" spans="1:12" ht="4.5" customHeight="1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15.75" x14ac:dyDescent="0.25">
      <c r="A2" s="23"/>
      <c r="B2" s="10"/>
      <c r="C2" s="10"/>
      <c r="D2" s="10"/>
      <c r="E2" s="10"/>
      <c r="F2" s="10"/>
      <c r="G2" s="18" t="str">
        <f>"Quadro de Composição do BDI"</f>
        <v>Quadro de Composição do BDI</v>
      </c>
      <c r="H2" s="10"/>
      <c r="I2" s="10"/>
      <c r="J2" s="173" t="s">
        <v>0</v>
      </c>
      <c r="K2" s="173"/>
      <c r="L2" s="20"/>
    </row>
    <row r="3" spans="1:12" x14ac:dyDescent="0.25">
      <c r="A3" s="23"/>
      <c r="B3" s="10"/>
      <c r="C3" s="10"/>
      <c r="D3" s="10"/>
      <c r="E3" s="10"/>
      <c r="F3" s="10"/>
      <c r="G3" s="10"/>
      <c r="H3" s="10"/>
      <c r="I3" s="10"/>
      <c r="J3" s="174" t="s">
        <v>1</v>
      </c>
      <c r="K3" s="174"/>
      <c r="L3" s="20"/>
    </row>
    <row r="4" spans="1:12" x14ac:dyDescent="0.25">
      <c r="A4" s="23"/>
      <c r="B4" s="10"/>
      <c r="C4" s="10"/>
      <c r="D4" s="10"/>
      <c r="E4" s="10"/>
      <c r="F4" s="10"/>
      <c r="G4" s="10"/>
      <c r="H4" s="10"/>
      <c r="I4" s="10"/>
      <c r="J4" s="10"/>
      <c r="K4" s="10"/>
      <c r="L4" s="20"/>
    </row>
    <row r="5" spans="1:12" x14ac:dyDescent="0.25">
      <c r="A5" s="23"/>
      <c r="B5" s="191" t="s">
        <v>2</v>
      </c>
      <c r="C5" s="192"/>
      <c r="D5" s="192"/>
      <c r="E5" s="192"/>
      <c r="F5" s="192"/>
      <c r="G5" s="192"/>
      <c r="H5" s="192"/>
      <c r="I5" s="192"/>
      <c r="J5" s="192"/>
      <c r="K5" s="193"/>
      <c r="L5" s="20"/>
    </row>
    <row r="6" spans="1:12" ht="15" customHeight="1" x14ac:dyDescent="0.25">
      <c r="A6" s="23"/>
      <c r="B6" s="194" t="s">
        <v>83</v>
      </c>
      <c r="C6" s="195"/>
      <c r="D6" s="195"/>
      <c r="E6" s="195"/>
      <c r="F6" s="195"/>
      <c r="G6" s="195"/>
      <c r="H6" s="195"/>
      <c r="I6" s="195"/>
      <c r="J6" s="195"/>
      <c r="K6" s="196"/>
      <c r="L6" s="20"/>
    </row>
    <row r="7" spans="1:12" x14ac:dyDescent="0.25">
      <c r="A7" s="23"/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2" x14ac:dyDescent="0.25">
      <c r="A8" s="23"/>
      <c r="B8" s="175" t="s">
        <v>42</v>
      </c>
      <c r="C8" s="175"/>
      <c r="D8" s="175"/>
      <c r="E8" s="175"/>
      <c r="F8" s="175"/>
      <c r="G8" s="175"/>
      <c r="H8" s="175"/>
      <c r="I8" s="175"/>
      <c r="J8" s="175"/>
      <c r="K8" s="175"/>
      <c r="L8" s="20"/>
    </row>
    <row r="9" spans="1:12" ht="27.75" customHeight="1" x14ac:dyDescent="0.25">
      <c r="A9" s="23"/>
      <c r="B9" s="176" t="str">
        <f>ORÇAMENTO!E5</f>
        <v>PAVIMENTAÇÃO ASFÁLTICA EM CBUQ EM VIAS URBANAS DO DISTRITO DE SÃO ROBERTO DE MINAS, MUNICÍPIO DE SÃO JOÃO DA LAGOA - MG</v>
      </c>
      <c r="C9" s="176"/>
      <c r="D9" s="176"/>
      <c r="E9" s="176"/>
      <c r="F9" s="176"/>
      <c r="G9" s="176"/>
      <c r="H9" s="176"/>
      <c r="I9" s="176"/>
      <c r="J9" s="176"/>
      <c r="K9" s="176"/>
      <c r="L9" s="20"/>
    </row>
    <row r="10" spans="1:12" x14ac:dyDescent="0.25">
      <c r="A10" s="2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</row>
    <row r="11" spans="1:12" x14ac:dyDescent="0.25">
      <c r="A11" s="23"/>
      <c r="B11" s="177" t="s">
        <v>3</v>
      </c>
      <c r="C11" s="177"/>
      <c r="D11" s="177"/>
      <c r="E11" s="177"/>
      <c r="F11" s="177"/>
      <c r="G11" s="177"/>
      <c r="H11" s="177"/>
      <c r="I11" s="177"/>
      <c r="J11" s="178">
        <v>1</v>
      </c>
      <c r="K11" s="178"/>
      <c r="L11" s="20"/>
    </row>
    <row r="12" spans="1:12" x14ac:dyDescent="0.25">
      <c r="A12" s="23"/>
      <c r="B12" s="179" t="s">
        <v>4</v>
      </c>
      <c r="C12" s="179"/>
      <c r="D12" s="179"/>
      <c r="E12" s="179"/>
      <c r="F12" s="179"/>
      <c r="G12" s="179"/>
      <c r="H12" s="179"/>
      <c r="I12" s="179"/>
      <c r="J12" s="178">
        <v>0.05</v>
      </c>
      <c r="K12" s="178"/>
      <c r="L12" s="20"/>
    </row>
    <row r="13" spans="1:12" x14ac:dyDescent="0.25">
      <c r="A13" s="2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0"/>
    </row>
    <row r="14" spans="1:12" ht="15.75" x14ac:dyDescent="0.25">
      <c r="A14" s="23"/>
      <c r="B14" s="181" t="s">
        <v>5</v>
      </c>
      <c r="C14" s="181"/>
      <c r="D14" s="181"/>
      <c r="E14" s="181"/>
      <c r="F14" s="181"/>
      <c r="G14" s="181"/>
      <c r="H14" s="181"/>
      <c r="I14" s="181"/>
      <c r="J14" s="181"/>
      <c r="K14" s="181"/>
      <c r="L14" s="20"/>
    </row>
    <row r="15" spans="1:12" x14ac:dyDescent="0.25">
      <c r="A15" s="2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0"/>
    </row>
    <row r="16" spans="1:12" x14ac:dyDescent="0.25">
      <c r="A16" s="23"/>
      <c r="B16" s="182" t="s">
        <v>6</v>
      </c>
      <c r="C16" s="182"/>
      <c r="D16" s="182"/>
      <c r="E16" s="182"/>
      <c r="F16" s="182"/>
      <c r="G16" s="182"/>
      <c r="H16" s="182"/>
      <c r="I16" s="182"/>
      <c r="J16" s="182"/>
      <c r="K16" s="182"/>
      <c r="L16" s="20"/>
    </row>
    <row r="17" spans="1:12" x14ac:dyDescent="0.25">
      <c r="A17" s="23"/>
      <c r="B17" s="183" t="s">
        <v>102</v>
      </c>
      <c r="C17" s="183"/>
      <c r="D17" s="183"/>
      <c r="E17" s="183"/>
      <c r="F17" s="183"/>
      <c r="G17" s="183"/>
      <c r="H17" s="183"/>
      <c r="I17" s="183"/>
      <c r="J17" s="183"/>
      <c r="K17" s="183"/>
      <c r="L17" s="20"/>
    </row>
    <row r="18" spans="1:12" x14ac:dyDescent="0.25">
      <c r="A18" s="2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20"/>
    </row>
    <row r="19" spans="1:12" x14ac:dyDescent="0.25">
      <c r="A19" s="23"/>
      <c r="B19" s="184" t="s">
        <v>7</v>
      </c>
      <c r="C19" s="184"/>
      <c r="D19" s="184"/>
      <c r="E19" s="184"/>
      <c r="F19" s="184"/>
      <c r="G19" s="184"/>
      <c r="H19" s="184"/>
      <c r="I19" s="184"/>
      <c r="J19" s="184" t="s">
        <v>8</v>
      </c>
      <c r="K19" s="185" t="s">
        <v>9</v>
      </c>
      <c r="L19" s="20"/>
    </row>
    <row r="20" spans="1:12" x14ac:dyDescent="0.25">
      <c r="A20" s="23"/>
      <c r="B20" s="184"/>
      <c r="C20" s="184"/>
      <c r="D20" s="184"/>
      <c r="E20" s="184"/>
      <c r="F20" s="184"/>
      <c r="G20" s="184"/>
      <c r="H20" s="184"/>
      <c r="I20" s="184"/>
      <c r="J20" s="184"/>
      <c r="K20" s="185"/>
      <c r="L20" s="20"/>
    </row>
    <row r="21" spans="1:12" ht="15" customHeight="1" x14ac:dyDescent="0.25">
      <c r="A21" s="23"/>
      <c r="B21" s="180" t="s">
        <v>31</v>
      </c>
      <c r="C21" s="180"/>
      <c r="D21" s="180"/>
      <c r="E21" s="180"/>
      <c r="F21" s="180"/>
      <c r="G21" s="180"/>
      <c r="H21" s="180"/>
      <c r="I21" s="180"/>
      <c r="J21" s="1" t="s">
        <v>32</v>
      </c>
      <c r="K21" s="2">
        <v>3.7999999999999999E-2</v>
      </c>
      <c r="L21" s="20"/>
    </row>
    <row r="22" spans="1:12" ht="15" customHeight="1" x14ac:dyDescent="0.25">
      <c r="A22" s="23"/>
      <c r="B22" s="180" t="s">
        <v>33</v>
      </c>
      <c r="C22" s="180"/>
      <c r="D22" s="180"/>
      <c r="E22" s="180"/>
      <c r="F22" s="180"/>
      <c r="G22" s="180"/>
      <c r="H22" s="180"/>
      <c r="I22" s="180"/>
      <c r="J22" s="1" t="s">
        <v>34</v>
      </c>
      <c r="K22" s="2">
        <v>3.2000000000000002E-3</v>
      </c>
      <c r="L22" s="20"/>
    </row>
    <row r="23" spans="1:12" x14ac:dyDescent="0.25">
      <c r="A23" s="23"/>
      <c r="B23" s="180" t="s">
        <v>35</v>
      </c>
      <c r="C23" s="180"/>
      <c r="D23" s="180"/>
      <c r="E23" s="180"/>
      <c r="F23" s="180"/>
      <c r="G23" s="180"/>
      <c r="H23" s="180"/>
      <c r="I23" s="180"/>
      <c r="J23" s="1" t="s">
        <v>36</v>
      </c>
      <c r="K23" s="2">
        <v>5.0000000000000001E-3</v>
      </c>
      <c r="L23" s="20"/>
    </row>
    <row r="24" spans="1:12" x14ac:dyDescent="0.25">
      <c r="A24" s="23"/>
      <c r="B24" s="180" t="s">
        <v>37</v>
      </c>
      <c r="C24" s="180"/>
      <c r="D24" s="180"/>
      <c r="E24" s="180"/>
      <c r="F24" s="180"/>
      <c r="G24" s="180"/>
      <c r="H24" s="180"/>
      <c r="I24" s="180"/>
      <c r="J24" s="1" t="s">
        <v>38</v>
      </c>
      <c r="K24" s="2">
        <v>1.0200000000000001E-2</v>
      </c>
      <c r="L24" s="20"/>
    </row>
    <row r="25" spans="1:12" ht="15" customHeight="1" x14ac:dyDescent="0.25">
      <c r="A25" s="23"/>
      <c r="B25" s="180" t="s">
        <v>39</v>
      </c>
      <c r="C25" s="180"/>
      <c r="D25" s="180"/>
      <c r="E25" s="180"/>
      <c r="F25" s="180"/>
      <c r="G25" s="180"/>
      <c r="H25" s="180"/>
      <c r="I25" s="180"/>
      <c r="J25" s="1" t="s">
        <v>40</v>
      </c>
      <c r="K25" s="2">
        <v>6.6400000000000001E-2</v>
      </c>
      <c r="L25" s="20"/>
    </row>
    <row r="26" spans="1:12" ht="15" customHeight="1" x14ac:dyDescent="0.25">
      <c r="A26" s="23"/>
      <c r="B26" s="180" t="s">
        <v>10</v>
      </c>
      <c r="C26" s="180"/>
      <c r="D26" s="180"/>
      <c r="E26" s="180"/>
      <c r="F26" s="180"/>
      <c r="G26" s="180"/>
      <c r="H26" s="180"/>
      <c r="I26" s="180"/>
      <c r="J26" s="1" t="s">
        <v>11</v>
      </c>
      <c r="K26" s="2">
        <v>3.6499999999999998E-2</v>
      </c>
      <c r="L26" s="20"/>
    </row>
    <row r="27" spans="1:12" ht="15" customHeight="1" x14ac:dyDescent="0.25">
      <c r="A27" s="23"/>
      <c r="B27" s="180" t="s">
        <v>12</v>
      </c>
      <c r="C27" s="180"/>
      <c r="D27" s="180"/>
      <c r="E27" s="180"/>
      <c r="F27" s="180"/>
      <c r="G27" s="180"/>
      <c r="H27" s="180"/>
      <c r="I27" s="180"/>
      <c r="J27" s="1" t="s">
        <v>13</v>
      </c>
      <c r="K27" s="3">
        <v>0.05</v>
      </c>
      <c r="L27" s="20"/>
    </row>
    <row r="28" spans="1:12" ht="15" customHeight="1" x14ac:dyDescent="0.25">
      <c r="A28" s="23"/>
      <c r="B28" s="180" t="s">
        <v>14</v>
      </c>
      <c r="C28" s="180"/>
      <c r="D28" s="180"/>
      <c r="E28" s="180"/>
      <c r="F28" s="180"/>
      <c r="G28" s="180"/>
      <c r="H28" s="180"/>
      <c r="I28" s="180"/>
      <c r="J28" s="1" t="s">
        <v>15</v>
      </c>
      <c r="K28" s="3">
        <v>3.6000000000000004E-2</v>
      </c>
      <c r="L28" s="20"/>
    </row>
    <row r="29" spans="1:12" ht="15" customHeight="1" x14ac:dyDescent="0.25">
      <c r="A29" s="23"/>
      <c r="B29" s="180" t="s">
        <v>16</v>
      </c>
      <c r="C29" s="180"/>
      <c r="D29" s="180"/>
      <c r="E29" s="180"/>
      <c r="F29" s="180"/>
      <c r="G29" s="180"/>
      <c r="H29" s="180"/>
      <c r="I29" s="180"/>
      <c r="J29" s="4" t="s">
        <v>17</v>
      </c>
      <c r="K29" s="3">
        <v>0.2422</v>
      </c>
      <c r="L29" s="20"/>
    </row>
    <row r="30" spans="1:12" ht="15" customHeight="1" x14ac:dyDescent="0.25">
      <c r="A30" s="23"/>
      <c r="B30" s="187" t="s">
        <v>18</v>
      </c>
      <c r="C30" s="187"/>
      <c r="D30" s="187"/>
      <c r="E30" s="187"/>
      <c r="F30" s="187"/>
      <c r="G30" s="187"/>
      <c r="H30" s="187"/>
      <c r="I30" s="187"/>
      <c r="J30" s="5" t="s">
        <v>19</v>
      </c>
      <c r="K30" s="6">
        <v>0.28439999999999999</v>
      </c>
      <c r="L30" s="20"/>
    </row>
    <row r="31" spans="1:12" x14ac:dyDescent="0.25">
      <c r="A31" s="23"/>
      <c r="B31" s="188" t="s">
        <v>20</v>
      </c>
      <c r="C31" s="188"/>
      <c r="D31" s="188"/>
      <c r="E31" s="188"/>
      <c r="F31" s="188"/>
      <c r="G31" s="188"/>
      <c r="H31" s="188"/>
      <c r="I31" s="188"/>
      <c r="J31" s="188"/>
      <c r="K31" s="188"/>
      <c r="L31" s="20"/>
    </row>
    <row r="32" spans="1:12" ht="15.75" x14ac:dyDescent="0.25">
      <c r="A32" s="23"/>
      <c r="B32" s="8"/>
      <c r="C32" s="8"/>
      <c r="D32" s="8"/>
      <c r="E32" s="203" t="s">
        <v>21</v>
      </c>
      <c r="F32" s="204" t="s">
        <v>41</v>
      </c>
      <c r="G32" s="204"/>
      <c r="H32" s="204"/>
      <c r="I32" s="205" t="s">
        <v>22</v>
      </c>
      <c r="J32" s="8"/>
      <c r="K32" s="8"/>
      <c r="L32" s="20"/>
    </row>
    <row r="33" spans="1:12" ht="15.75" x14ac:dyDescent="0.25">
      <c r="A33" s="23"/>
      <c r="B33" s="8"/>
      <c r="C33" s="8"/>
      <c r="D33" s="8"/>
      <c r="E33" s="203"/>
      <c r="F33" s="206" t="s">
        <v>23</v>
      </c>
      <c r="G33" s="206"/>
      <c r="H33" s="206"/>
      <c r="I33" s="205"/>
      <c r="J33" s="8"/>
      <c r="K33" s="8"/>
      <c r="L33" s="20"/>
    </row>
    <row r="34" spans="1:12" x14ac:dyDescent="0.25">
      <c r="A34" s="23"/>
      <c r="B34" s="9"/>
      <c r="C34" s="9"/>
      <c r="D34" s="9"/>
      <c r="E34" s="9"/>
      <c r="F34" s="9"/>
      <c r="G34" s="9"/>
      <c r="H34" s="9"/>
      <c r="I34" s="9"/>
      <c r="J34" s="9"/>
      <c r="K34" s="9"/>
      <c r="L34" s="20"/>
    </row>
    <row r="35" spans="1:12" ht="30.75" customHeight="1" x14ac:dyDescent="0.25">
      <c r="A35" s="23"/>
      <c r="B35" s="186" t="s">
        <v>43</v>
      </c>
      <c r="C35" s="186"/>
      <c r="D35" s="186"/>
      <c r="E35" s="186"/>
      <c r="F35" s="186"/>
      <c r="G35" s="186"/>
      <c r="H35" s="186"/>
      <c r="I35" s="186"/>
      <c r="J35" s="186"/>
      <c r="K35" s="186"/>
      <c r="L35" s="20"/>
    </row>
    <row r="36" spans="1:12" x14ac:dyDescent="0.25">
      <c r="A36" s="2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20"/>
    </row>
    <row r="37" spans="1:12" ht="32.25" customHeight="1" x14ac:dyDescent="0.25">
      <c r="A37" s="23"/>
      <c r="B37" s="186" t="s">
        <v>79</v>
      </c>
      <c r="C37" s="186"/>
      <c r="D37" s="186"/>
      <c r="E37" s="186"/>
      <c r="F37" s="186"/>
      <c r="G37" s="186"/>
      <c r="H37" s="186"/>
      <c r="I37" s="186"/>
      <c r="J37" s="186"/>
      <c r="K37" s="186"/>
      <c r="L37" s="20"/>
    </row>
    <row r="38" spans="1:12" x14ac:dyDescent="0.25">
      <c r="A38" s="2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20"/>
    </row>
    <row r="39" spans="1:12" x14ac:dyDescent="0.25">
      <c r="A39" s="23"/>
      <c r="B39" s="10" t="s">
        <v>24</v>
      </c>
      <c r="C39" s="10"/>
      <c r="D39" s="10"/>
      <c r="E39" s="10"/>
      <c r="F39" s="10"/>
      <c r="G39" s="10"/>
      <c r="H39" s="10"/>
      <c r="I39" s="10"/>
      <c r="J39" s="10"/>
      <c r="K39" s="10"/>
      <c r="L39" s="20"/>
    </row>
    <row r="40" spans="1:12" x14ac:dyDescent="0.25">
      <c r="A40" s="23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20"/>
    </row>
    <row r="41" spans="1:12" x14ac:dyDescent="0.25">
      <c r="A41" s="23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20"/>
    </row>
    <row r="42" spans="1:12" x14ac:dyDescent="0.25">
      <c r="A42" s="23"/>
      <c r="B42" s="198" t="s">
        <v>58</v>
      </c>
      <c r="C42" s="198"/>
      <c r="D42" s="198"/>
      <c r="E42" s="198"/>
      <c r="F42" s="10"/>
      <c r="G42" s="10"/>
      <c r="H42" s="199" t="s">
        <v>186</v>
      </c>
      <c r="I42" s="199"/>
      <c r="J42" s="199"/>
      <c r="K42" s="199"/>
      <c r="L42" s="20"/>
    </row>
    <row r="43" spans="1:12" x14ac:dyDescent="0.25">
      <c r="A43" s="23"/>
      <c r="B43" s="200" t="s">
        <v>25</v>
      </c>
      <c r="C43" s="200"/>
      <c r="D43" s="200"/>
      <c r="E43" s="200"/>
      <c r="F43" s="10"/>
      <c r="G43" s="11"/>
      <c r="H43" s="12" t="s">
        <v>26</v>
      </c>
      <c r="I43" s="13"/>
      <c r="J43" s="13"/>
      <c r="K43" s="13"/>
      <c r="L43" s="20"/>
    </row>
    <row r="44" spans="1:12" x14ac:dyDescent="0.25">
      <c r="A44" s="23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0"/>
    </row>
    <row r="45" spans="1:12" x14ac:dyDescent="0.25">
      <c r="A45" s="23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0"/>
    </row>
    <row r="46" spans="1:12" ht="21" customHeight="1" x14ac:dyDescent="0.25">
      <c r="A46" s="23"/>
      <c r="B46" s="201"/>
      <c r="C46" s="201"/>
      <c r="D46" s="201"/>
      <c r="E46" s="201"/>
      <c r="F46" s="14"/>
      <c r="G46" s="10"/>
      <c r="H46" s="10"/>
      <c r="I46" s="10"/>
      <c r="J46" s="10"/>
      <c r="K46" s="10"/>
      <c r="L46" s="20"/>
    </row>
    <row r="47" spans="1:12" x14ac:dyDescent="0.25">
      <c r="A47" s="23"/>
      <c r="B47" s="202" t="s">
        <v>27</v>
      </c>
      <c r="C47" s="202"/>
      <c r="D47" s="202"/>
      <c r="E47" s="202"/>
      <c r="F47" s="10"/>
      <c r="G47" s="10"/>
      <c r="H47" s="10"/>
      <c r="I47" s="10"/>
      <c r="J47" s="10"/>
      <c r="K47" s="10"/>
      <c r="L47" s="20"/>
    </row>
    <row r="48" spans="1:12" x14ac:dyDescent="0.25">
      <c r="A48" s="23"/>
      <c r="B48" s="126" t="s">
        <v>28</v>
      </c>
      <c r="C48" s="189" t="s">
        <v>100</v>
      </c>
      <c r="D48" s="189"/>
      <c r="E48" s="189"/>
      <c r="F48" s="14"/>
      <c r="G48" s="10"/>
      <c r="H48" s="10"/>
      <c r="I48" s="10"/>
      <c r="J48" s="10"/>
      <c r="K48" s="10"/>
      <c r="L48" s="20"/>
    </row>
    <row r="49" spans="1:12" x14ac:dyDescent="0.25">
      <c r="A49" s="23"/>
      <c r="B49" s="126" t="s">
        <v>29</v>
      </c>
      <c r="C49" s="190" t="s">
        <v>101</v>
      </c>
      <c r="D49" s="190"/>
      <c r="E49" s="190"/>
      <c r="F49" s="14"/>
      <c r="G49" s="10"/>
      <c r="H49" s="10"/>
      <c r="I49" s="10"/>
      <c r="J49" s="10"/>
      <c r="K49" s="10"/>
      <c r="L49" s="20"/>
    </row>
    <row r="50" spans="1:12" x14ac:dyDescent="0.25">
      <c r="A50" s="23"/>
      <c r="B50" s="126" t="s">
        <v>30</v>
      </c>
      <c r="C50" s="190" t="s">
        <v>206</v>
      </c>
      <c r="D50" s="190"/>
      <c r="E50" s="190"/>
      <c r="F50" s="14"/>
      <c r="G50" s="10"/>
      <c r="H50" s="10"/>
      <c r="I50" s="10"/>
      <c r="J50" s="10"/>
      <c r="K50" s="10"/>
      <c r="L50" s="20"/>
    </row>
    <row r="51" spans="1:12" x14ac:dyDescent="0.25">
      <c r="A51" s="2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2"/>
    </row>
  </sheetData>
  <mergeCells count="42">
    <mergeCell ref="C48:E48"/>
    <mergeCell ref="C49:E49"/>
    <mergeCell ref="C50:E50"/>
    <mergeCell ref="B5:K5"/>
    <mergeCell ref="B6:K6"/>
    <mergeCell ref="B40:K40"/>
    <mergeCell ref="B42:E42"/>
    <mergeCell ref="H42:K42"/>
    <mergeCell ref="B43:E43"/>
    <mergeCell ref="B46:E46"/>
    <mergeCell ref="B47:E47"/>
    <mergeCell ref="E32:E33"/>
    <mergeCell ref="F32:H32"/>
    <mergeCell ref="I32:I33"/>
    <mergeCell ref="F33:H33"/>
    <mergeCell ref="B35:K35"/>
    <mergeCell ref="B37:K37"/>
    <mergeCell ref="B27:I27"/>
    <mergeCell ref="B28:I28"/>
    <mergeCell ref="B29:I29"/>
    <mergeCell ref="B30:I30"/>
    <mergeCell ref="B31:K31"/>
    <mergeCell ref="B12:I12"/>
    <mergeCell ref="J12:K12"/>
    <mergeCell ref="B26:I26"/>
    <mergeCell ref="B14:K14"/>
    <mergeCell ref="B16:K16"/>
    <mergeCell ref="B17:K17"/>
    <mergeCell ref="B19:I20"/>
    <mergeCell ref="J19:J20"/>
    <mergeCell ref="K19:K20"/>
    <mergeCell ref="B21:I21"/>
    <mergeCell ref="B22:I22"/>
    <mergeCell ref="B23:I23"/>
    <mergeCell ref="B24:I24"/>
    <mergeCell ref="B25:I25"/>
    <mergeCell ref="J2:K2"/>
    <mergeCell ref="J3:K3"/>
    <mergeCell ref="B8:K8"/>
    <mergeCell ref="B9:K9"/>
    <mergeCell ref="B11:I11"/>
    <mergeCell ref="J11:K11"/>
  </mergeCells>
  <conditionalFormatting sqref="B30:K30">
    <cfRule type="expression" dxfId="38" priority="4" stopIfTrue="1">
      <formula>DESONERACAO="não"</formula>
    </cfRule>
  </conditionalFormatting>
  <conditionalFormatting sqref="K29">
    <cfRule type="expression" dxfId="37" priority="1" stopIfTrue="1">
      <formula>DESONERACAO="não"</formula>
    </cfRule>
  </conditionalFormatting>
  <dataValidations count="6">
    <dataValidation type="list" allowBlank="1" showErrorMessage="1" sqref="B17:K17" xr:uid="{AB123BEF-C8E2-47E7-8499-E1CC33181B41}">
      <formula1>BDI.TipoObra</formula1>
      <formula2>0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J11:K11" xr:uid="{1971DE07-6DAA-41FB-93C4-031D31A52B60}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J12:K12" xr:uid="{770DE75F-DA5C-4C7D-8085-3F05D32ACB86}">
      <formula1>0</formula1>
      <formula2>0</formula2>
    </dataValidation>
    <dataValidation operator="greaterThanOrEqual" allowBlank="1" showErrorMessage="1" errorTitle="Erro de valores" error="Digite um valor igual a 0% ou 2%." sqref="K28" xr:uid="{DB83FFDB-964B-44A4-BE14-B84E041E57D9}">
      <formula1>0</formula1>
      <formula2>0</formula2>
    </dataValidation>
    <dataValidation type="decimal" allowBlank="1" showErrorMessage="1" errorTitle="Erro de valores" error="Digite um valor maior do que 0." sqref="K27" xr:uid="{FA99D523-9785-4B54-8D39-7F621BB651D0}">
      <formula1>0</formula1>
      <formula2>1</formula2>
    </dataValidation>
    <dataValidation type="decimal" allowBlank="1" showErrorMessage="1" errorTitle="Erro de valores" error="Digite um valor entre 0% e 100%" sqref="K21:K26" xr:uid="{357747D5-41BA-4D38-9567-3638AE3EE8EE}">
      <formula1>0</formula1>
      <formula2>1</formula2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C99E-EF6E-4914-B784-257BDBE626D4}">
  <dimension ref="A1:P42"/>
  <sheetViews>
    <sheetView tabSelected="1" topLeftCell="A4" workbookViewId="0">
      <selection activeCell="J11" sqref="J11"/>
    </sheetView>
  </sheetViews>
  <sheetFormatPr defaultRowHeight="15" x14ac:dyDescent="0.25"/>
  <cols>
    <col min="1" max="1" width="0.85546875" customWidth="1"/>
    <col min="2" max="2" width="12.7109375" customWidth="1"/>
    <col min="3" max="4" width="15.7109375" customWidth="1"/>
    <col min="5" max="5" width="65.7109375" customWidth="1"/>
    <col min="6" max="6" width="10.7109375" customWidth="1"/>
    <col min="7" max="9" width="14.7109375" customWidth="1"/>
    <col min="10" max="10" width="18" customWidth="1"/>
    <col min="11" max="11" width="1.28515625" customWidth="1"/>
    <col min="13" max="13" width="11.5703125" bestFit="1" customWidth="1"/>
    <col min="14" max="14" width="9.5703125" bestFit="1" customWidth="1"/>
    <col min="15" max="15" width="11.5703125" bestFit="1" customWidth="1"/>
  </cols>
  <sheetData>
    <row r="1" spans="1:13" ht="4.5" customHeight="1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3" ht="15.75" x14ac:dyDescent="0.25">
      <c r="A2" s="23"/>
      <c r="B2" s="226" t="s">
        <v>44</v>
      </c>
      <c r="C2" s="226"/>
      <c r="D2" s="226"/>
      <c r="E2" s="226"/>
      <c r="F2" s="226"/>
      <c r="G2" s="226"/>
      <c r="H2" s="226"/>
      <c r="I2" s="226"/>
      <c r="J2" s="226"/>
      <c r="K2" s="20"/>
    </row>
    <row r="3" spans="1:13" x14ac:dyDescent="0.25">
      <c r="A3" s="23"/>
      <c r="B3" s="113"/>
      <c r="C3" s="113"/>
      <c r="D3" s="113"/>
      <c r="E3" s="113"/>
      <c r="F3" s="113"/>
      <c r="G3" s="113"/>
      <c r="H3" s="113"/>
      <c r="I3" s="113"/>
      <c r="J3" s="117"/>
      <c r="K3" s="20"/>
    </row>
    <row r="4" spans="1:13" x14ac:dyDescent="0.25">
      <c r="A4" s="23"/>
      <c r="B4" s="191" t="s">
        <v>2</v>
      </c>
      <c r="C4" s="192"/>
      <c r="D4" s="227"/>
      <c r="E4" s="192" t="s">
        <v>42</v>
      </c>
      <c r="F4" s="192"/>
      <c r="G4" s="192"/>
      <c r="H4" s="192"/>
      <c r="I4" s="192"/>
      <c r="J4" s="193"/>
      <c r="K4" s="20"/>
    </row>
    <row r="5" spans="1:13" ht="31.5" customHeight="1" x14ac:dyDescent="0.25">
      <c r="A5" s="23"/>
      <c r="B5" s="194" t="str">
        <f>BDI!B6</f>
        <v>PREFEITURA MUNICIPAL DE SÃO JOÃO DA LAGOA</v>
      </c>
      <c r="C5" s="195"/>
      <c r="D5" s="195"/>
      <c r="E5" s="228" t="s">
        <v>205</v>
      </c>
      <c r="F5" s="229"/>
      <c r="G5" s="229"/>
      <c r="H5" s="229"/>
      <c r="I5" s="229"/>
      <c r="J5" s="230"/>
      <c r="K5" s="20"/>
    </row>
    <row r="6" spans="1:13" x14ac:dyDescent="0.25">
      <c r="A6" s="23"/>
      <c r="B6" s="62"/>
      <c r="C6" s="62"/>
      <c r="D6" s="63"/>
      <c r="E6" s="63"/>
      <c r="F6" s="62"/>
      <c r="G6" s="62"/>
      <c r="H6" s="62"/>
      <c r="I6" s="62"/>
      <c r="J6" s="62"/>
      <c r="K6" s="20"/>
    </row>
    <row r="7" spans="1:13" ht="18" customHeight="1" x14ac:dyDescent="0.25">
      <c r="A7" s="23"/>
      <c r="B7" s="221" t="s">
        <v>87</v>
      </c>
      <c r="C7" s="223"/>
      <c r="D7" s="64" t="s">
        <v>45</v>
      </c>
      <c r="E7" s="221" t="s">
        <v>42</v>
      </c>
      <c r="F7" s="222"/>
      <c r="G7" s="223"/>
      <c r="H7" s="221" t="s">
        <v>59</v>
      </c>
      <c r="I7" s="223"/>
      <c r="J7" s="65" t="s">
        <v>88</v>
      </c>
      <c r="K7" s="20"/>
    </row>
    <row r="8" spans="1:13" ht="44.25" customHeight="1" x14ac:dyDescent="0.25">
      <c r="A8" s="23"/>
      <c r="B8" s="224" t="s">
        <v>152</v>
      </c>
      <c r="C8" s="225"/>
      <c r="D8" s="130" t="s">
        <v>153</v>
      </c>
      <c r="E8" s="218" t="str">
        <f>E5</f>
        <v>PAVIMENTAÇÃO ASFÁLTICA EM CBUQ EM VIAS URBANAS DO DISTRITO DE SÃO ROBERTO DE MINAS, MUNICÍPIO DE SÃO JOÃO DA LAGOA - MG</v>
      </c>
      <c r="F8" s="219"/>
      <c r="G8" s="220"/>
      <c r="H8" s="224" t="s">
        <v>58</v>
      </c>
      <c r="I8" s="225"/>
      <c r="J8" s="122">
        <v>0.28439999999999999</v>
      </c>
      <c r="K8" s="20"/>
    </row>
    <row r="9" spans="1:13" x14ac:dyDescent="0.25">
      <c r="A9" s="23"/>
      <c r="B9" s="212"/>
      <c r="C9" s="213"/>
      <c r="D9" s="213"/>
      <c r="E9" s="213"/>
      <c r="F9" s="213"/>
      <c r="G9" s="213"/>
      <c r="H9" s="213"/>
      <c r="I9" s="213"/>
      <c r="J9" s="214"/>
      <c r="K9" s="20"/>
    </row>
    <row r="10" spans="1:13" ht="25.5" x14ac:dyDescent="0.25">
      <c r="A10" s="23"/>
      <c r="B10" s="31" t="s">
        <v>47</v>
      </c>
      <c r="C10" s="31" t="s">
        <v>48</v>
      </c>
      <c r="D10" s="31" t="s">
        <v>49</v>
      </c>
      <c r="E10" s="31" t="s">
        <v>50</v>
      </c>
      <c r="F10" s="32" t="s">
        <v>51</v>
      </c>
      <c r="G10" s="31" t="s">
        <v>52</v>
      </c>
      <c r="H10" s="31" t="str">
        <f>IF(TIPOORCAMENTO="Licitado","","Custo Unitário (sem BDI) (R$)")</f>
        <v>Custo Unitário (sem BDI) (R$)</v>
      </c>
      <c r="I10" s="31" t="s">
        <v>53</v>
      </c>
      <c r="J10" s="31" t="s">
        <v>54</v>
      </c>
      <c r="K10" s="20"/>
    </row>
    <row r="11" spans="1:13" ht="26.25" customHeight="1" x14ac:dyDescent="0.25">
      <c r="A11" s="23"/>
      <c r="B11" s="215" t="str">
        <f>E5</f>
        <v>PAVIMENTAÇÃO ASFÁLTICA EM CBUQ EM VIAS URBANAS DO DISTRITO DE SÃO ROBERTO DE MINAS, MUNICÍPIO DE SÃO JOÃO DA LAGOA - MG</v>
      </c>
      <c r="C11" s="215"/>
      <c r="D11" s="215"/>
      <c r="E11" s="215"/>
      <c r="F11" s="33"/>
      <c r="G11" s="34"/>
      <c r="H11" s="34"/>
      <c r="I11" s="34"/>
      <c r="J11" s="35">
        <f>J12</f>
        <v>608817.01</v>
      </c>
      <c r="K11" s="20"/>
      <c r="M11" s="123"/>
    </row>
    <row r="12" spans="1:13" ht="35.25" customHeight="1" x14ac:dyDescent="0.25">
      <c r="A12" s="23"/>
      <c r="B12" s="171">
        <v>1</v>
      </c>
      <c r="C12" s="217"/>
      <c r="D12" s="217"/>
      <c r="E12" s="36" t="s">
        <v>169</v>
      </c>
      <c r="F12" s="37"/>
      <c r="G12" s="38"/>
      <c r="H12" s="39"/>
      <c r="I12" s="38"/>
      <c r="J12" s="40">
        <f>J13+J16+J21+J24</f>
        <v>608817.01</v>
      </c>
      <c r="K12" s="20"/>
    </row>
    <row r="13" spans="1:13" ht="21.75" customHeight="1" x14ac:dyDescent="0.25">
      <c r="A13" s="23"/>
      <c r="B13" s="41" t="s">
        <v>80</v>
      </c>
      <c r="C13" s="42"/>
      <c r="D13" s="43"/>
      <c r="E13" s="85" t="s">
        <v>204</v>
      </c>
      <c r="F13" s="45"/>
      <c r="G13" s="46"/>
      <c r="H13" s="46"/>
      <c r="I13" s="46"/>
      <c r="J13" s="48">
        <f>SUM(J14:J15)</f>
        <v>5568.35</v>
      </c>
      <c r="K13" s="20"/>
    </row>
    <row r="14" spans="1:13" ht="75" x14ac:dyDescent="0.25">
      <c r="A14" s="23"/>
      <c r="B14" s="49" t="s">
        <v>81</v>
      </c>
      <c r="C14" s="50" t="s">
        <v>164</v>
      </c>
      <c r="D14" s="51" t="s">
        <v>57</v>
      </c>
      <c r="E14" s="114" t="s">
        <v>65</v>
      </c>
      <c r="F14" s="52" t="s">
        <v>77</v>
      </c>
      <c r="G14" s="53">
        <f>'MEMÓRIA DE CÁLCULO'!F13</f>
        <v>1</v>
      </c>
      <c r="H14" s="54">
        <v>1153.26</v>
      </c>
      <c r="I14" s="53">
        <f>ROUND(H14*(1+$J$8),2)</f>
        <v>1481.25</v>
      </c>
      <c r="J14" s="55">
        <f>ROUND(G14*I14,2)</f>
        <v>1481.25</v>
      </c>
      <c r="K14" s="20"/>
    </row>
    <row r="15" spans="1:13" ht="30" x14ac:dyDescent="0.25">
      <c r="A15" s="23"/>
      <c r="B15" s="49" t="s">
        <v>165</v>
      </c>
      <c r="C15" s="50" t="s">
        <v>164</v>
      </c>
      <c r="D15" s="51" t="s">
        <v>166</v>
      </c>
      <c r="E15" s="114" t="s">
        <v>170</v>
      </c>
      <c r="F15" s="52" t="s">
        <v>77</v>
      </c>
      <c r="G15" s="53">
        <f>'MEMÓRIA DE CÁLCULO'!F14</f>
        <v>46</v>
      </c>
      <c r="H15" s="54">
        <v>69.180000000000007</v>
      </c>
      <c r="I15" s="53">
        <f>ROUND(H15*(1+$J$8),2)</f>
        <v>88.85</v>
      </c>
      <c r="J15" s="55">
        <f>ROUND(G15*I15,2)</f>
        <v>4087.1</v>
      </c>
      <c r="K15" s="20"/>
    </row>
    <row r="16" spans="1:13" x14ac:dyDescent="0.25">
      <c r="A16" s="23"/>
      <c r="B16" s="41" t="s">
        <v>82</v>
      </c>
      <c r="C16" s="42"/>
      <c r="D16" s="43"/>
      <c r="E16" s="44" t="s">
        <v>198</v>
      </c>
      <c r="F16" s="45"/>
      <c r="G16" s="46"/>
      <c r="H16" s="47"/>
      <c r="I16" s="46"/>
      <c r="J16" s="48">
        <f>SUM(J17:J20)</f>
        <v>49990.38</v>
      </c>
      <c r="K16" s="20"/>
      <c r="M16" s="123"/>
    </row>
    <row r="17" spans="1:16" ht="30" x14ac:dyDescent="0.25">
      <c r="A17" s="23"/>
      <c r="B17" s="49" t="s">
        <v>84</v>
      </c>
      <c r="C17" s="50" t="s">
        <v>149</v>
      </c>
      <c r="D17" s="51" t="s">
        <v>175</v>
      </c>
      <c r="E17" s="114" t="str">
        <f>COMPOSIÇÃO!C107</f>
        <v>EXECUÇÃO DE IMPRIMAÇÃO COM EMULSÃO ASFÁLTICA PARA SERVIÇO DE IMPRIMAÇÃO (EAI)</v>
      </c>
      <c r="F17" s="52" t="s">
        <v>90</v>
      </c>
      <c r="G17" s="53">
        <f>'MEMÓRIA DE CÁLCULO'!F16</f>
        <v>5806.51</v>
      </c>
      <c r="H17" s="54">
        <f>COMPOSIÇÃO!I128</f>
        <v>3.9699999999999998</v>
      </c>
      <c r="I17" s="53">
        <f>ROUND(H17*(1+$J$8),2)</f>
        <v>5.0999999999999996</v>
      </c>
      <c r="J17" s="55">
        <f>ROUND(G17*I17,2)</f>
        <v>29613.200000000001</v>
      </c>
      <c r="K17" s="20"/>
      <c r="M17" s="123"/>
    </row>
    <row r="18" spans="1:16" ht="75" x14ac:dyDescent="0.25">
      <c r="A18" s="23"/>
      <c r="B18" s="49" t="s">
        <v>85</v>
      </c>
      <c r="C18" s="50" t="s">
        <v>89</v>
      </c>
      <c r="D18" s="51" t="s">
        <v>96</v>
      </c>
      <c r="E18" s="114" t="s">
        <v>185</v>
      </c>
      <c r="F18" s="52" t="s">
        <v>91</v>
      </c>
      <c r="G18" s="53">
        <f>'MEMÓRIA DE CÁLCULO'!F17</f>
        <v>3184.29</v>
      </c>
      <c r="H18" s="54">
        <v>0.56000000000000005</v>
      </c>
      <c r="I18" s="53">
        <f t="shared" ref="I18" si="0">ROUND(H18*(1+$J$8),2)</f>
        <v>0.72</v>
      </c>
      <c r="J18" s="55">
        <f t="shared" ref="J18:J23" si="1">ROUND(G18*I18,2)</f>
        <v>2292.69</v>
      </c>
      <c r="K18" s="20"/>
      <c r="M18" s="123"/>
    </row>
    <row r="19" spans="1:16" x14ac:dyDescent="0.25">
      <c r="A19" s="23"/>
      <c r="B19" s="49" t="s">
        <v>86</v>
      </c>
      <c r="C19" s="50" t="s">
        <v>149</v>
      </c>
      <c r="D19" s="51" t="s">
        <v>150</v>
      </c>
      <c r="E19" s="114" t="str">
        <f>COMPOSIÇÃO!C13</f>
        <v>EXECUÇÃO DE PINTURA DE LIGAÇÃO COM EMULSÃO ASFÁLTICA RR-2C.</v>
      </c>
      <c r="F19" s="52" t="s">
        <v>90</v>
      </c>
      <c r="G19" s="53">
        <f>'MEMÓRIA DE CÁLCULO'!F18</f>
        <v>5806.51</v>
      </c>
      <c r="H19" s="54">
        <f>COMPOSIÇÃO!I34</f>
        <v>2.2999999999999998</v>
      </c>
      <c r="I19" s="53">
        <f t="shared" ref="I19:I25" si="2">ROUND(H19*(1+$J$8),2)</f>
        <v>2.95</v>
      </c>
      <c r="J19" s="55">
        <f t="shared" si="1"/>
        <v>17129.2</v>
      </c>
      <c r="K19" s="20"/>
    </row>
    <row r="20" spans="1:16" ht="75" x14ac:dyDescent="0.25">
      <c r="A20" s="23"/>
      <c r="B20" s="49" t="s">
        <v>163</v>
      </c>
      <c r="C20" s="50" t="s">
        <v>89</v>
      </c>
      <c r="D20" s="51" t="s">
        <v>96</v>
      </c>
      <c r="E20" s="114" t="s">
        <v>182</v>
      </c>
      <c r="F20" s="52" t="s">
        <v>91</v>
      </c>
      <c r="G20" s="53">
        <f>'MEMÓRIA DE CÁLCULO'!F19</f>
        <v>1326.79</v>
      </c>
      <c r="H20" s="54">
        <v>0.56000000000000005</v>
      </c>
      <c r="I20" s="53">
        <f t="shared" si="2"/>
        <v>0.72</v>
      </c>
      <c r="J20" s="55">
        <f t="shared" si="1"/>
        <v>955.29</v>
      </c>
      <c r="K20" s="20"/>
      <c r="N20" s="123"/>
      <c r="P20" s="123"/>
    </row>
    <row r="21" spans="1:16" x14ac:dyDescent="0.25">
      <c r="A21" s="23"/>
      <c r="B21" s="41" t="s">
        <v>98</v>
      </c>
      <c r="C21" s="42"/>
      <c r="D21" s="43"/>
      <c r="E21" s="44" t="s">
        <v>167</v>
      </c>
      <c r="F21" s="45"/>
      <c r="G21" s="46"/>
      <c r="H21" s="47"/>
      <c r="I21" s="46"/>
      <c r="J21" s="48">
        <f>SUM(J22:J23)</f>
        <v>413964.27</v>
      </c>
      <c r="K21" s="20"/>
      <c r="M21" s="123"/>
    </row>
    <row r="22" spans="1:16" ht="60" x14ac:dyDescent="0.25">
      <c r="A22" s="23"/>
      <c r="B22" s="49" t="s">
        <v>199</v>
      </c>
      <c r="C22" s="50" t="s">
        <v>164</v>
      </c>
      <c r="D22" s="51" t="s">
        <v>92</v>
      </c>
      <c r="E22" s="114" t="s">
        <v>93</v>
      </c>
      <c r="F22" s="52" t="s">
        <v>94</v>
      </c>
      <c r="G22" s="53">
        <f>'MEMÓRIA DE CÁLCULO'!F21</f>
        <v>174.19</v>
      </c>
      <c r="H22" s="54">
        <v>1796.47</v>
      </c>
      <c r="I22" s="53">
        <f t="shared" si="2"/>
        <v>2307.39</v>
      </c>
      <c r="J22" s="55">
        <f t="shared" si="1"/>
        <v>401924.26</v>
      </c>
      <c r="K22" s="20"/>
      <c r="O22" s="123"/>
    </row>
    <row r="23" spans="1:16" ht="45" x14ac:dyDescent="0.25">
      <c r="A23" s="23"/>
      <c r="B23" s="49" t="s">
        <v>200</v>
      </c>
      <c r="C23" s="50" t="s">
        <v>89</v>
      </c>
      <c r="D23" s="51" t="s">
        <v>97</v>
      </c>
      <c r="E23" s="114" t="s">
        <v>177</v>
      </c>
      <c r="F23" s="52" t="s">
        <v>95</v>
      </c>
      <c r="G23" s="53">
        <f>'MEMÓRIA DE CÁLCULO'!F22</f>
        <v>9406.2599999999984</v>
      </c>
      <c r="H23" s="54">
        <v>1</v>
      </c>
      <c r="I23" s="53">
        <f t="shared" si="2"/>
        <v>1.28</v>
      </c>
      <c r="J23" s="55">
        <f t="shared" si="1"/>
        <v>12040.01</v>
      </c>
      <c r="K23" s="20"/>
    </row>
    <row r="24" spans="1:16" x14ac:dyDescent="0.25">
      <c r="A24" s="23"/>
      <c r="B24" s="41" t="s">
        <v>196</v>
      </c>
      <c r="C24" s="42"/>
      <c r="D24" s="43"/>
      <c r="E24" s="44" t="s">
        <v>197</v>
      </c>
      <c r="F24" s="45"/>
      <c r="G24" s="46"/>
      <c r="H24" s="47"/>
      <c r="I24" s="46"/>
      <c r="J24" s="48">
        <f>SUM(J25:J27)</f>
        <v>139294.01</v>
      </c>
      <c r="K24" s="20"/>
      <c r="M24" s="123"/>
    </row>
    <row r="25" spans="1:16" ht="45" x14ac:dyDescent="0.25">
      <c r="A25" s="23"/>
      <c r="B25" s="49" t="s">
        <v>201</v>
      </c>
      <c r="C25" s="50" t="s">
        <v>89</v>
      </c>
      <c r="D25" s="51" t="s">
        <v>161</v>
      </c>
      <c r="E25" s="114" t="s">
        <v>162</v>
      </c>
      <c r="F25" s="52" t="s">
        <v>78</v>
      </c>
      <c r="G25" s="53">
        <f>'MEMÓRIA DE CÁLCULO'!F24</f>
        <v>1707.92</v>
      </c>
      <c r="H25" s="54">
        <v>60.74</v>
      </c>
      <c r="I25" s="53">
        <f t="shared" si="2"/>
        <v>78.010000000000005</v>
      </c>
      <c r="J25" s="55">
        <f>ROUND(G25*I25,2)</f>
        <v>133234.84</v>
      </c>
      <c r="K25" s="20"/>
    </row>
    <row r="26" spans="1:16" ht="45" x14ac:dyDescent="0.25">
      <c r="A26" s="23"/>
      <c r="B26" s="49" t="s">
        <v>202</v>
      </c>
      <c r="C26" s="50" t="s">
        <v>89</v>
      </c>
      <c r="D26" s="51" t="s">
        <v>180</v>
      </c>
      <c r="E26" s="114" t="s">
        <v>181</v>
      </c>
      <c r="F26" s="52" t="s">
        <v>78</v>
      </c>
      <c r="G26" s="53">
        <f>'MEMÓRIA DE CÁLCULO'!F25</f>
        <v>21.26</v>
      </c>
      <c r="H26" s="54">
        <v>67.180000000000007</v>
      </c>
      <c r="I26" s="53">
        <f t="shared" ref="I26" si="3">ROUND(H26*(1+$J$8),2)</f>
        <v>86.29</v>
      </c>
      <c r="J26" s="55">
        <f>ROUND(G26*I26,2)</f>
        <v>1834.53</v>
      </c>
      <c r="K26" s="20"/>
      <c r="N26" s="123">
        <f>SUM(G25:G27)</f>
        <v>1779.04</v>
      </c>
    </row>
    <row r="27" spans="1:16" ht="60" x14ac:dyDescent="0.25">
      <c r="A27" s="23"/>
      <c r="B27" s="49" t="s">
        <v>203</v>
      </c>
      <c r="C27" s="50" t="s">
        <v>89</v>
      </c>
      <c r="D27" s="51" t="s">
        <v>184</v>
      </c>
      <c r="E27" s="114" t="s">
        <v>183</v>
      </c>
      <c r="F27" s="52" t="s">
        <v>78</v>
      </c>
      <c r="G27" s="53">
        <f>'MEMÓRIA DE CÁLCULO'!F26</f>
        <v>49.86</v>
      </c>
      <c r="H27" s="54">
        <v>65.97</v>
      </c>
      <c r="I27" s="53">
        <f t="shared" ref="I27" si="4">ROUND(H27*(1+$J$8),2)</f>
        <v>84.73</v>
      </c>
      <c r="J27" s="55">
        <f>ROUND(G27*I27,2)</f>
        <v>4224.6400000000003</v>
      </c>
      <c r="K27" s="20"/>
    </row>
    <row r="28" spans="1:16" ht="10.5" customHeight="1" x14ac:dyDescent="0.25">
      <c r="A28" s="23"/>
      <c r="B28" s="28"/>
      <c r="C28" s="29"/>
      <c r="D28" s="29"/>
      <c r="E28" s="29"/>
      <c r="F28" s="29"/>
      <c r="G28" s="29"/>
      <c r="H28" s="29"/>
      <c r="I28" s="29"/>
      <c r="J28" s="30"/>
      <c r="K28" s="20"/>
    </row>
    <row r="29" spans="1:16" x14ac:dyDescent="0.25">
      <c r="A29" s="23"/>
      <c r="B29" s="17"/>
      <c r="C29" s="17"/>
      <c r="D29" s="17"/>
      <c r="E29" s="17"/>
      <c r="F29" s="17"/>
      <c r="G29" s="17"/>
      <c r="H29" s="17"/>
      <c r="I29" s="17"/>
      <c r="J29" s="17"/>
      <c r="K29" s="20"/>
    </row>
    <row r="30" spans="1:16" x14ac:dyDescent="0.25">
      <c r="A30" s="23"/>
      <c r="B30" s="208" t="s">
        <v>24</v>
      </c>
      <c r="C30" s="209"/>
      <c r="D30" s="209"/>
      <c r="E30" s="209"/>
      <c r="F30" s="209"/>
      <c r="G30" s="209"/>
      <c r="H30" s="209"/>
      <c r="I30" s="209"/>
      <c r="J30" s="210"/>
      <c r="K30" s="20"/>
    </row>
    <row r="31" spans="1:16" x14ac:dyDescent="0.25">
      <c r="A31" s="23"/>
      <c r="B31" s="216"/>
      <c r="C31" s="216"/>
      <c r="D31" s="216"/>
      <c r="E31" s="216"/>
      <c r="F31" s="216"/>
      <c r="G31" s="216"/>
      <c r="H31" s="216"/>
      <c r="I31" s="216"/>
      <c r="J31" s="216"/>
      <c r="K31" s="20"/>
    </row>
    <row r="32" spans="1:16" x14ac:dyDescent="0.25">
      <c r="A32" s="23"/>
      <c r="B32" s="216"/>
      <c r="C32" s="216"/>
      <c r="D32" s="216"/>
      <c r="E32" s="216"/>
      <c r="F32" s="216"/>
      <c r="G32" s="216"/>
      <c r="H32" s="216"/>
      <c r="I32" s="216"/>
      <c r="J32" s="216"/>
      <c r="K32" s="20"/>
    </row>
    <row r="33" spans="1:11" x14ac:dyDescent="0.25">
      <c r="A33" s="23"/>
      <c r="B33" s="56"/>
      <c r="C33" s="56"/>
      <c r="D33" s="56"/>
      <c r="E33" s="56"/>
      <c r="F33" s="56"/>
      <c r="G33" s="56"/>
      <c r="H33" s="56"/>
      <c r="I33" s="56"/>
      <c r="J33" s="56"/>
      <c r="K33" s="20"/>
    </row>
    <row r="34" spans="1:11" x14ac:dyDescent="0.25">
      <c r="A34" s="23"/>
      <c r="B34" s="56"/>
      <c r="C34" s="56"/>
      <c r="D34" s="56"/>
      <c r="E34" s="56"/>
      <c r="F34" s="56"/>
      <c r="G34" s="56"/>
      <c r="H34" s="56"/>
      <c r="I34" s="56"/>
      <c r="J34" s="56"/>
      <c r="K34" s="20"/>
    </row>
    <row r="35" spans="1:11" x14ac:dyDescent="0.25">
      <c r="A35" s="23"/>
      <c r="B35" s="56"/>
      <c r="C35" s="56"/>
      <c r="D35" s="56"/>
      <c r="E35" s="56"/>
      <c r="F35" s="56"/>
      <c r="G35" s="56"/>
      <c r="H35" s="56"/>
      <c r="I35" s="56"/>
      <c r="J35" s="56"/>
      <c r="K35" s="20"/>
    </row>
    <row r="36" spans="1:11" x14ac:dyDescent="0.25">
      <c r="A36" s="23"/>
      <c r="B36" s="17"/>
      <c r="C36" s="17"/>
      <c r="D36" s="17"/>
      <c r="E36" s="17"/>
      <c r="F36" s="17"/>
      <c r="G36" s="17"/>
      <c r="H36" s="17"/>
      <c r="I36" s="17"/>
      <c r="J36" s="17"/>
      <c r="K36" s="20"/>
    </row>
    <row r="37" spans="1:11" x14ac:dyDescent="0.25">
      <c r="A37" s="23"/>
      <c r="B37" s="211" t="str">
        <f>BDI!B42</f>
        <v>SÃO JOÃO DA LAGOA</v>
      </c>
      <c r="C37" s="211"/>
      <c r="D37" s="211"/>
      <c r="E37" s="17"/>
      <c r="F37" s="57"/>
      <c r="G37" s="57"/>
      <c r="H37" s="57"/>
      <c r="I37" s="17"/>
      <c r="J37" s="17"/>
      <c r="K37" s="20"/>
    </row>
    <row r="38" spans="1:11" x14ac:dyDescent="0.25">
      <c r="A38" s="23"/>
      <c r="B38" s="58" t="s">
        <v>25</v>
      </c>
      <c r="C38" s="17"/>
      <c r="D38" s="17"/>
      <c r="E38" s="17"/>
      <c r="F38" s="59" t="s">
        <v>27</v>
      </c>
      <c r="G38" s="59"/>
      <c r="H38" s="59"/>
      <c r="I38" s="17"/>
      <c r="J38" s="17"/>
      <c r="K38" s="20"/>
    </row>
    <row r="39" spans="1:11" x14ac:dyDescent="0.25">
      <c r="A39" s="23"/>
      <c r="B39" s="17"/>
      <c r="C39" s="17"/>
      <c r="D39" s="17"/>
      <c r="E39" s="17"/>
      <c r="F39" s="15" t="s">
        <v>28</v>
      </c>
      <c r="G39" s="207" t="str">
        <f>BDI!C48</f>
        <v>LEONARDO PETERSON AMARAL LIMA</v>
      </c>
      <c r="H39" s="207"/>
      <c r="I39" s="17"/>
      <c r="J39" s="17"/>
      <c r="K39" s="20"/>
    </row>
    <row r="40" spans="1:11" x14ac:dyDescent="0.25">
      <c r="A40" s="23"/>
      <c r="B40" s="199" t="str">
        <f>BDI!H42</f>
        <v>segunda-feira, 08 de abril de 2026</v>
      </c>
      <c r="C40" s="199"/>
      <c r="D40" s="199"/>
      <c r="E40" s="17"/>
      <c r="F40" s="15" t="s">
        <v>29</v>
      </c>
      <c r="G40" s="207" t="str">
        <f>BDI!C49</f>
        <v>331.073/D</v>
      </c>
      <c r="H40" s="207"/>
      <c r="I40" s="17"/>
      <c r="J40" s="17"/>
      <c r="K40" s="20"/>
    </row>
    <row r="41" spans="1:11" x14ac:dyDescent="0.25">
      <c r="A41" s="23"/>
      <c r="B41" s="60" t="s">
        <v>26</v>
      </c>
      <c r="C41" s="61"/>
      <c r="D41" s="61"/>
      <c r="E41" s="17"/>
      <c r="F41" s="15" t="s">
        <v>30</v>
      </c>
      <c r="G41" s="207" t="str">
        <f>BDI!C50</f>
        <v>MG20264927891</v>
      </c>
      <c r="H41" s="207"/>
      <c r="I41" s="17"/>
      <c r="J41" s="17"/>
      <c r="K41" s="20"/>
    </row>
    <row r="42" spans="1:11" ht="7.5" customHeight="1" x14ac:dyDescent="0.25">
      <c r="A42" s="24"/>
      <c r="B42" s="21"/>
      <c r="C42" s="21"/>
      <c r="D42" s="21"/>
      <c r="E42" s="21"/>
      <c r="F42" s="21"/>
      <c r="G42" s="21"/>
      <c r="H42" s="21"/>
      <c r="I42" s="21"/>
      <c r="J42" s="21"/>
      <c r="K42" s="22"/>
    </row>
  </sheetData>
  <mergeCells count="21">
    <mergeCell ref="E8:G8"/>
    <mergeCell ref="E7:G7"/>
    <mergeCell ref="H8:I8"/>
    <mergeCell ref="H7:I7"/>
    <mergeCell ref="B2:J2"/>
    <mergeCell ref="B7:C7"/>
    <mergeCell ref="B8:C8"/>
    <mergeCell ref="B4:D4"/>
    <mergeCell ref="B5:D5"/>
    <mergeCell ref="E4:J4"/>
    <mergeCell ref="E5:J5"/>
    <mergeCell ref="G41:H41"/>
    <mergeCell ref="B30:J30"/>
    <mergeCell ref="B37:D37"/>
    <mergeCell ref="B40:D40"/>
    <mergeCell ref="B9:J9"/>
    <mergeCell ref="B11:E11"/>
    <mergeCell ref="B31:J32"/>
    <mergeCell ref="G39:H39"/>
    <mergeCell ref="G40:H40"/>
    <mergeCell ref="C12:D12"/>
  </mergeCells>
  <phoneticPr fontId="14" type="noConversion"/>
  <conditionalFormatting sqref="B9">
    <cfRule type="expression" dxfId="36" priority="50" stopIfTrue="1">
      <formula>ISERROR(INDIRECT(#REF!))</formula>
    </cfRule>
  </conditionalFormatting>
  <conditionalFormatting sqref="C12 C13:D27">
    <cfRule type="expression" dxfId="35" priority="6" stopIfTrue="1">
      <formula>$B12=1</formula>
    </cfRule>
    <cfRule type="expression" dxfId="34" priority="7" stopIfTrue="1">
      <formula>OR($B12=0,$B12=2,$B12=3,$B12=4)</formula>
    </cfRule>
  </conditionalFormatting>
  <conditionalFormatting sqref="E12">
    <cfRule type="expression" dxfId="33" priority="16" stopIfTrue="1">
      <formula>$B12=1</formula>
    </cfRule>
    <cfRule type="expression" dxfId="32" priority="17" stopIfTrue="1">
      <formula>OR($B12=0,$B12=2,$B12=3,$B12=4)</formula>
    </cfRule>
  </conditionalFormatting>
  <conditionalFormatting sqref="E16">
    <cfRule type="expression" dxfId="31" priority="11" stopIfTrue="1">
      <formula>$B16=1</formula>
    </cfRule>
    <cfRule type="expression" dxfId="30" priority="12" stopIfTrue="1">
      <formula>OR($B16=0,$B16=2,$B16=3,$B16=4)</formula>
    </cfRule>
  </conditionalFormatting>
  <conditionalFormatting sqref="E21">
    <cfRule type="expression" dxfId="29" priority="3" stopIfTrue="1">
      <formula>$B21=1</formula>
    </cfRule>
    <cfRule type="expression" dxfId="28" priority="4" stopIfTrue="1">
      <formula>OR($B21=0,$B21=2,$B21=3,$B21=4)</formula>
    </cfRule>
  </conditionalFormatting>
  <conditionalFormatting sqref="E24">
    <cfRule type="expression" dxfId="27" priority="1" stopIfTrue="1">
      <formula>$B24=1</formula>
    </cfRule>
    <cfRule type="expression" dxfId="26" priority="2" stopIfTrue="1">
      <formula>OR($B24=0,$B24=2,$B24=3,$B24=4)</formula>
    </cfRule>
  </conditionalFormatting>
  <conditionalFormatting sqref="F12:G27 H13:I13">
    <cfRule type="expression" dxfId="25" priority="8" stopIfTrue="1">
      <formula>$B12=1</formula>
    </cfRule>
  </conditionalFormatting>
  <conditionalFormatting sqref="F12:H12 F13:I13 F14:H27">
    <cfRule type="expression" dxfId="24" priority="9" stopIfTrue="1">
      <formula>OR($B12=0,$B12=2,$B12=3,$B12=4)</formula>
    </cfRule>
  </conditionalFormatting>
  <conditionalFormatting sqref="H12 H14:H27">
    <cfRule type="expression" dxfId="23" priority="5" stopIfTrue="1">
      <formula>$B12=1</formula>
    </cfRule>
    <cfRule type="expression" dxfId="22" priority="10" stopIfTrue="1">
      <formula>AND(TIPOORCAMENTO="Licitado",$B12&lt;&gt;"L",$B12&lt;&gt;-1)</formula>
    </cfRule>
  </conditionalFormatting>
  <conditionalFormatting sqref="I12:J12 B12:B27 J13 I14:J27">
    <cfRule type="expression" dxfId="21" priority="41" stopIfTrue="1">
      <formula>$B12=1</formula>
    </cfRule>
    <cfRule type="expression" dxfId="20" priority="42" stopIfTrue="1">
      <formula>OR($B12=0,$B12=2,$B12=3,$B12=4)</formula>
    </cfRule>
  </conditionalFormatting>
  <dataValidations count="4">
    <dataValidation allowBlank="1" showInputMessage="1" showErrorMessage="1" prompt="Para Orçamento Proposto, o Preço Unitário é resultado do produto do Custo Unitário pelo BDI._x000a_Para Orçamento Licitado, deve ser preenchido na Coluna AL." sqref="I12 I14:I27" xr:uid="{2F66BD13-DB74-443D-AF9F-DCB7BC881B6C}"/>
    <dataValidation allowBlank="1" showInputMessage="1" showErrorMessage="1" prompt="A entrada de quantidades é feita na coluna AJ se acompanhamento por BM, ou na aba &quot;Memória de Cálculo/PLQ&quot; se acompanhamento por PLE." sqref="G12:G27 H13:I13" xr:uid="{9435D31E-8F39-46DC-8664-E6873A956EA7}"/>
    <dataValidation type="list" allowBlank="1" sqref="C12:C27" xr:uid="{6A803080-FFBE-43C8-BA75-8EE08DDFB569}">
      <formula1>"SINAPI,SINAPI-I,SICRO,Composição,Cotação"</formula1>
      <formula2>0</formula2>
    </dataValidation>
    <dataValidation type="decimal" operator="greaterThan" allowBlank="1" showErrorMessage="1" error="Apenas números decimais maiores que zero." sqref="H12 H14:H27" xr:uid="{3BB7DEE2-B581-40FA-B66A-7BBFD56D8751}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3F06-9290-48FA-AD6D-F64006019ED9}">
  <dimension ref="A1:Q25"/>
  <sheetViews>
    <sheetView workbookViewId="0">
      <selection activeCell="O17" sqref="O17"/>
    </sheetView>
  </sheetViews>
  <sheetFormatPr defaultRowHeight="15" x14ac:dyDescent="0.25"/>
  <cols>
    <col min="1" max="1" width="1.5703125" customWidth="1"/>
    <col min="3" max="3" width="47.85546875" customWidth="1"/>
    <col min="4" max="4" width="17.42578125" customWidth="1"/>
    <col min="5" max="5" width="14.5703125" customWidth="1"/>
    <col min="6" max="9" width="12.7109375" customWidth="1"/>
    <col min="10" max="10" width="14.85546875" customWidth="1"/>
    <col min="11" max="11" width="1.85546875" customWidth="1"/>
    <col min="12" max="12" width="2" customWidth="1"/>
    <col min="14" max="14" width="12" customWidth="1"/>
    <col min="15" max="15" width="13.5703125" customWidth="1"/>
    <col min="16" max="16" width="12.140625" customWidth="1"/>
  </cols>
  <sheetData>
    <row r="1" spans="1:17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7" ht="15.75" x14ac:dyDescent="0.25">
      <c r="A2" s="23"/>
      <c r="B2" s="226" t="s">
        <v>73</v>
      </c>
      <c r="C2" s="226"/>
      <c r="D2" s="226"/>
      <c r="E2" s="226"/>
      <c r="F2" s="226"/>
      <c r="G2" s="226"/>
      <c r="H2" s="226"/>
      <c r="I2" s="226"/>
      <c r="J2" s="226"/>
      <c r="K2" s="20"/>
    </row>
    <row r="3" spans="1:17" x14ac:dyDescent="0.25">
      <c r="A3" s="23"/>
      <c r="B3" s="113"/>
      <c r="C3" s="113"/>
      <c r="D3" s="113"/>
      <c r="E3" s="113"/>
      <c r="F3" s="113"/>
      <c r="G3" s="113"/>
      <c r="H3" s="113"/>
      <c r="I3" s="113"/>
      <c r="J3" s="116"/>
      <c r="K3" s="20"/>
    </row>
    <row r="4" spans="1:17" x14ac:dyDescent="0.25">
      <c r="A4" s="23"/>
      <c r="B4" s="231" t="s">
        <v>2</v>
      </c>
      <c r="C4" s="233"/>
      <c r="D4" s="231" t="s">
        <v>42</v>
      </c>
      <c r="E4" s="232"/>
      <c r="F4" s="232"/>
      <c r="G4" s="232"/>
      <c r="H4" s="232"/>
      <c r="I4" s="232"/>
      <c r="J4" s="233"/>
      <c r="K4" s="20"/>
    </row>
    <row r="5" spans="1:17" ht="43.5" customHeight="1" x14ac:dyDescent="0.25">
      <c r="A5" s="23"/>
      <c r="B5" s="241" t="str">
        <f>ORÇAMENTO!B5</f>
        <v>PREFEITURA MUNICIPAL DE SÃO JOÃO DA LAGOA</v>
      </c>
      <c r="C5" s="242"/>
      <c r="D5" s="234" t="str">
        <f>ORÇAMENTO!E5</f>
        <v>PAVIMENTAÇÃO ASFÁLTICA EM CBUQ EM VIAS URBANAS DO DISTRITO DE SÃO ROBERTO DE MINAS, MUNICÍPIO DE SÃO JOÃO DA LAGOA - MG</v>
      </c>
      <c r="E5" s="235"/>
      <c r="F5" s="235"/>
      <c r="G5" s="235"/>
      <c r="H5" s="235"/>
      <c r="I5" s="235"/>
      <c r="J5" s="236"/>
      <c r="K5" s="20"/>
    </row>
    <row r="6" spans="1:17" x14ac:dyDescent="0.25">
      <c r="A6" s="23"/>
      <c r="B6" s="81"/>
      <c r="C6" s="81"/>
      <c r="D6" s="81"/>
      <c r="E6" s="81"/>
      <c r="F6" s="81"/>
      <c r="G6" s="81"/>
      <c r="H6" s="81"/>
      <c r="I6" s="81"/>
      <c r="J6" s="81"/>
      <c r="K6" s="20"/>
    </row>
    <row r="7" spans="1:17" x14ac:dyDescent="0.25">
      <c r="A7" s="23"/>
      <c r="B7" s="237" t="s">
        <v>47</v>
      </c>
      <c r="C7" s="238" t="s">
        <v>50</v>
      </c>
      <c r="D7" s="239" t="s">
        <v>68</v>
      </c>
      <c r="E7" s="240" t="s">
        <v>69</v>
      </c>
      <c r="F7" s="97">
        <v>1</v>
      </c>
      <c r="G7" s="98">
        <v>2</v>
      </c>
      <c r="H7" s="98">
        <v>3</v>
      </c>
      <c r="I7" s="98">
        <v>4</v>
      </c>
      <c r="J7" s="98">
        <v>5</v>
      </c>
      <c r="K7" s="20"/>
    </row>
    <row r="8" spans="1:17" x14ac:dyDescent="0.25">
      <c r="A8" s="23"/>
      <c r="B8" s="237"/>
      <c r="C8" s="238"/>
      <c r="D8" s="239"/>
      <c r="E8" s="240"/>
      <c r="F8" s="99">
        <v>46174</v>
      </c>
      <c r="G8" s="99">
        <v>46204</v>
      </c>
      <c r="H8" s="99">
        <v>46235</v>
      </c>
      <c r="I8" s="99">
        <v>46266</v>
      </c>
      <c r="J8" s="99">
        <v>46296</v>
      </c>
      <c r="K8" s="20"/>
    </row>
    <row r="9" spans="1:17" ht="25.5" x14ac:dyDescent="0.25">
      <c r="A9" s="23"/>
      <c r="B9" s="100" t="s">
        <v>67</v>
      </c>
      <c r="C9" s="125" t="str">
        <f>ORÇAMENTO!E12</f>
        <v>PAVIMENTAÇÃO DE VIA PÚBLICA NO DISTRITO DE SÃO ROBERTO DE MINAS</v>
      </c>
      <c r="D9" s="101">
        <f>ORÇAMENTO!J12</f>
        <v>608817.01</v>
      </c>
      <c r="E9" s="102" t="s">
        <v>70</v>
      </c>
      <c r="F9" s="103">
        <f>ROUND(((F10*$D$10)+(F11*$D$11)+(F12*$D$12)+(F13*$D$13))/$D$9,4)</f>
        <v>0.46</v>
      </c>
      <c r="G9" s="103">
        <f>ROUND(((G10*$D$10)+(G11*$D$11)+(G12*$D$12)+(G13*$D$13))/$D$9,4)</f>
        <v>0.54</v>
      </c>
      <c r="H9" s="103"/>
      <c r="I9" s="103"/>
      <c r="J9" s="103">
        <v>0</v>
      </c>
      <c r="K9" s="20"/>
      <c r="M9" s="7">
        <f>F9+G9</f>
        <v>1</v>
      </c>
      <c r="N9" s="7"/>
    </row>
    <row r="10" spans="1:17" x14ac:dyDescent="0.25">
      <c r="A10" s="23"/>
      <c r="B10" s="100" t="s">
        <v>71</v>
      </c>
      <c r="C10" s="111" t="str">
        <f>ORÇAMENTO!E13</f>
        <v>SERVIÇOS PRELIMINARES</v>
      </c>
      <c r="D10" s="101">
        <f>ORÇAMENTO!J13</f>
        <v>5568.35</v>
      </c>
      <c r="E10" s="102" t="s">
        <v>70</v>
      </c>
      <c r="F10" s="103">
        <f>(N10)/D10</f>
        <v>0.61704993400199337</v>
      </c>
      <c r="G10" s="103">
        <f>O10/D10</f>
        <v>0.38295006599800657</v>
      </c>
      <c r="H10" s="103"/>
      <c r="I10" s="103"/>
      <c r="J10" s="103">
        <v>0</v>
      </c>
      <c r="K10" s="20"/>
      <c r="M10" s="7">
        <f>F10+G10</f>
        <v>1</v>
      </c>
      <c r="N10" s="129">
        <f>'MEMÓRIA DE CÁLCULO'!I12</f>
        <v>3435.95</v>
      </c>
      <c r="O10" s="129">
        <f>'MEMÓRIA DE CÁLCULO'!J12</f>
        <v>2132.4</v>
      </c>
      <c r="P10" s="129"/>
      <c r="Q10">
        <f>D9*0.8</f>
        <v>487053.60800000001</v>
      </c>
    </row>
    <row r="11" spans="1:17" x14ac:dyDescent="0.25">
      <c r="A11" s="23"/>
      <c r="B11" s="100" t="s">
        <v>82</v>
      </c>
      <c r="C11" s="111" t="str">
        <f>ORÇAMENTO!E16</f>
        <v>IMPRIMAÇÃO E PINTURA DE LIGAÇÃO</v>
      </c>
      <c r="D11" s="101">
        <f>ORÇAMENTO!J16</f>
        <v>49990.38</v>
      </c>
      <c r="E11" s="102" t="s">
        <v>70</v>
      </c>
      <c r="F11" s="103">
        <f>(N11)/D11</f>
        <v>0.44997257472337676</v>
      </c>
      <c r="G11" s="103">
        <f>O11/D11</f>
        <v>0.55002762531511062</v>
      </c>
      <c r="H11" s="103"/>
      <c r="I11" s="103"/>
      <c r="J11" s="103"/>
      <c r="K11" s="20"/>
      <c r="M11" s="7">
        <f>F11+G11</f>
        <v>1.0000002000384873</v>
      </c>
      <c r="N11" s="123">
        <f>'MEMÓRIA DE CÁLCULO'!I15</f>
        <v>22494.3</v>
      </c>
      <c r="O11" s="123">
        <f>'MEMÓRIA DE CÁLCULO'!J15</f>
        <v>27496.09</v>
      </c>
      <c r="P11" s="123"/>
    </row>
    <row r="12" spans="1:17" x14ac:dyDescent="0.25">
      <c r="A12" s="23"/>
      <c r="B12" s="100" t="s">
        <v>98</v>
      </c>
      <c r="C12" s="111" t="str">
        <f>ORÇAMENTO!E21</f>
        <v>PAVIMENTAÇÃO</v>
      </c>
      <c r="D12" s="101">
        <f>ORÇAMENTO!J21</f>
        <v>413964.27</v>
      </c>
      <c r="E12" s="102" t="s">
        <v>70</v>
      </c>
      <c r="F12" s="103">
        <f t="shared" ref="F12:F13" si="0">(N12)/D12</f>
        <v>0.44996842360332207</v>
      </c>
      <c r="G12" s="103">
        <f t="shared" ref="G12:G13" si="1">O12/D12</f>
        <v>0.55003157639667788</v>
      </c>
      <c r="H12" s="103"/>
      <c r="I12" s="103"/>
      <c r="J12" s="103"/>
      <c r="K12" s="20"/>
      <c r="M12" s="7">
        <f t="shared" ref="M12:M13" si="2">F12+G12</f>
        <v>1</v>
      </c>
      <c r="N12" s="123">
        <f>'MEMÓRIA DE CÁLCULO'!I20</f>
        <v>186270.85</v>
      </c>
      <c r="O12" s="123">
        <f>'MEMÓRIA DE CÁLCULO'!J20</f>
        <v>227693.42</v>
      </c>
      <c r="P12" s="123"/>
    </row>
    <row r="13" spans="1:17" x14ac:dyDescent="0.25">
      <c r="A13" s="23"/>
      <c r="B13" s="100" t="s">
        <v>196</v>
      </c>
      <c r="C13" s="111" t="str">
        <f>ORÇAMENTO!E24</f>
        <v>MEIO-FIO / DRENAGEM</v>
      </c>
      <c r="D13" s="101">
        <f>ORÇAMENTO!J24</f>
        <v>139294.01</v>
      </c>
      <c r="E13" s="102" t="s">
        <v>70</v>
      </c>
      <c r="F13" s="103">
        <f t="shared" si="0"/>
        <v>0.48711513151211594</v>
      </c>
      <c r="G13" s="103">
        <f t="shared" si="1"/>
        <v>0.51288479669728793</v>
      </c>
      <c r="H13" s="103"/>
      <c r="I13" s="103"/>
      <c r="J13" s="103"/>
      <c r="K13" s="20"/>
      <c r="M13" s="7">
        <f t="shared" si="2"/>
        <v>0.99999992820940387</v>
      </c>
      <c r="N13" s="123">
        <f>'MEMÓRIA DE CÁLCULO'!I23</f>
        <v>67852.22</v>
      </c>
      <c r="O13" s="123">
        <f>'MEMÓRIA DE CÁLCULO'!J23</f>
        <v>71441.78</v>
      </c>
      <c r="P13" s="123"/>
    </row>
    <row r="14" spans="1:17" ht="7.5" customHeight="1" x14ac:dyDescent="0.25">
      <c r="A14" s="23"/>
      <c r="B14" s="110"/>
      <c r="C14" s="104"/>
      <c r="D14" s="96"/>
      <c r="E14" s="96"/>
      <c r="F14" s="104"/>
      <c r="G14" s="104"/>
      <c r="H14" s="104"/>
      <c r="I14" s="104"/>
      <c r="J14" s="104"/>
      <c r="K14" s="20"/>
    </row>
    <row r="15" spans="1:17" x14ac:dyDescent="0.25">
      <c r="A15" s="23"/>
      <c r="B15" s="244"/>
      <c r="C15" s="244"/>
      <c r="D15" s="243" t="s">
        <v>74</v>
      </c>
      <c r="E15" s="105" t="s">
        <v>72</v>
      </c>
      <c r="F15" s="106">
        <f>F9</f>
        <v>0.46</v>
      </c>
      <c r="G15" s="106">
        <f>G9</f>
        <v>0.54</v>
      </c>
      <c r="H15" s="109"/>
      <c r="I15" s="109"/>
      <c r="J15" s="109"/>
      <c r="K15" s="20"/>
      <c r="N15" s="124"/>
      <c r="O15" s="124"/>
    </row>
    <row r="16" spans="1:17" x14ac:dyDescent="0.25">
      <c r="A16" s="23"/>
      <c r="B16" s="244"/>
      <c r="C16" s="244"/>
      <c r="D16" s="243"/>
      <c r="E16" s="107" t="s">
        <v>75</v>
      </c>
      <c r="F16" s="108">
        <f>F15*$D$9</f>
        <v>280055.82459999999</v>
      </c>
      <c r="G16" s="108">
        <f>G15*$D$9</f>
        <v>328761.18540000002</v>
      </c>
      <c r="H16" s="109"/>
      <c r="I16" s="109"/>
      <c r="J16" s="109"/>
      <c r="K16" s="20"/>
    </row>
    <row r="17" spans="1:15" x14ac:dyDescent="0.25">
      <c r="A17" s="23"/>
      <c r="B17" s="244"/>
      <c r="C17" s="244"/>
      <c r="D17" s="243" t="s">
        <v>76</v>
      </c>
      <c r="E17" s="105" t="s">
        <v>72</v>
      </c>
      <c r="F17" s="106">
        <f>F15</f>
        <v>0.46</v>
      </c>
      <c r="G17" s="106">
        <f>F17+G15</f>
        <v>1</v>
      </c>
      <c r="H17" s="109"/>
      <c r="I17" s="109"/>
      <c r="J17" s="109"/>
      <c r="K17" s="20"/>
      <c r="O17" s="123"/>
    </row>
    <row r="18" spans="1:15" x14ac:dyDescent="0.25">
      <c r="A18" s="23"/>
      <c r="B18" s="244"/>
      <c r="C18" s="244"/>
      <c r="D18" s="243"/>
      <c r="E18" s="107" t="s">
        <v>75</v>
      </c>
      <c r="F18" s="108">
        <f>F16</f>
        <v>280055.82459999999</v>
      </c>
      <c r="G18" s="108">
        <f>F18+G16</f>
        <v>608817.01</v>
      </c>
      <c r="H18" s="109"/>
      <c r="I18" s="109"/>
      <c r="J18" s="109"/>
      <c r="K18" s="20"/>
      <c r="L18" s="7"/>
    </row>
    <row r="19" spans="1:15" x14ac:dyDescent="0.25">
      <c r="A19" s="23"/>
      <c r="B19" s="17"/>
      <c r="C19" s="17"/>
      <c r="D19" s="17"/>
      <c r="E19" s="17"/>
      <c r="F19" s="17"/>
      <c r="G19" s="17"/>
      <c r="H19" s="17"/>
      <c r="I19" s="17"/>
      <c r="J19" s="17"/>
      <c r="K19" s="20"/>
    </row>
    <row r="20" spans="1:15" ht="59.25" customHeight="1" x14ac:dyDescent="0.25">
      <c r="A20" s="23"/>
      <c r="B20" s="211" t="str">
        <f>ORÇAMENTO!B37</f>
        <v>SÃO JOÃO DA LAGOA</v>
      </c>
      <c r="C20" s="211"/>
      <c r="D20" s="17"/>
      <c r="E20" s="17"/>
      <c r="F20" s="246"/>
      <c r="G20" s="246"/>
      <c r="H20" s="246"/>
      <c r="I20" s="246"/>
      <c r="J20" s="17"/>
      <c r="K20" s="20"/>
    </row>
    <row r="21" spans="1:15" x14ac:dyDescent="0.25">
      <c r="A21" s="23"/>
      <c r="B21" s="58" t="s">
        <v>25</v>
      </c>
      <c r="C21" s="17"/>
      <c r="D21" s="17"/>
      <c r="E21" s="17"/>
      <c r="F21" s="245" t="s">
        <v>27</v>
      </c>
      <c r="G21" s="245"/>
      <c r="H21" s="245"/>
      <c r="I21" s="245"/>
      <c r="J21" s="17"/>
      <c r="K21" s="20"/>
    </row>
    <row r="22" spans="1:15" x14ac:dyDescent="0.25">
      <c r="A22" s="23"/>
      <c r="B22" s="17"/>
      <c r="C22" s="17"/>
      <c r="D22" s="17"/>
      <c r="E22" s="17"/>
      <c r="F22" s="15" t="s">
        <v>28</v>
      </c>
      <c r="G22" s="207" t="str">
        <f>ORÇAMENTO!G39</f>
        <v>LEONARDO PETERSON AMARAL LIMA</v>
      </c>
      <c r="H22" s="207"/>
      <c r="I22" s="207"/>
      <c r="J22" s="118"/>
      <c r="K22" s="20"/>
    </row>
    <row r="23" spans="1:15" x14ac:dyDescent="0.25">
      <c r="A23" s="23"/>
      <c r="B23" s="199" t="str">
        <f>ORÇAMENTO!B40</f>
        <v>segunda-feira, 08 de abril de 2026</v>
      </c>
      <c r="C23" s="199"/>
      <c r="D23" s="17"/>
      <c r="E23" s="17"/>
      <c r="F23" s="15" t="s">
        <v>29</v>
      </c>
      <c r="G23" s="207" t="str">
        <f>ORÇAMENTO!G40</f>
        <v>331.073/D</v>
      </c>
      <c r="H23" s="207"/>
      <c r="I23" s="207"/>
      <c r="J23" s="118"/>
      <c r="K23" s="20"/>
    </row>
    <row r="24" spans="1:15" x14ac:dyDescent="0.25">
      <c r="A24" s="23"/>
      <c r="B24" s="60" t="s">
        <v>26</v>
      </c>
      <c r="C24" s="61"/>
      <c r="D24" s="17"/>
      <c r="E24" s="17"/>
      <c r="F24" s="15" t="s">
        <v>30</v>
      </c>
      <c r="G24" s="207" t="str">
        <f>ORÇAMENTO!G41</f>
        <v>MG20264927891</v>
      </c>
      <c r="H24" s="207"/>
      <c r="I24" s="207"/>
      <c r="J24" s="118"/>
      <c r="K24" s="20"/>
    </row>
    <row r="25" spans="1:15" ht="4.5" customHeight="1" x14ac:dyDescent="0.25">
      <c r="A25" s="24"/>
      <c r="B25" s="21"/>
      <c r="C25" s="21"/>
      <c r="D25" s="21"/>
      <c r="E25" s="21"/>
      <c r="F25" s="21"/>
      <c r="G25" s="21"/>
      <c r="H25" s="21"/>
      <c r="I25" s="21"/>
      <c r="J25" s="21"/>
      <c r="K25" s="22"/>
    </row>
  </sheetData>
  <mergeCells count="19">
    <mergeCell ref="D15:D16"/>
    <mergeCell ref="D17:D18"/>
    <mergeCell ref="B15:C18"/>
    <mergeCell ref="G24:I24"/>
    <mergeCell ref="B23:C23"/>
    <mergeCell ref="B20:C20"/>
    <mergeCell ref="F21:I21"/>
    <mergeCell ref="F20:I20"/>
    <mergeCell ref="G22:I22"/>
    <mergeCell ref="G23:I23"/>
    <mergeCell ref="B2:J2"/>
    <mergeCell ref="D4:J4"/>
    <mergeCell ref="D5:J5"/>
    <mergeCell ref="B7:B8"/>
    <mergeCell ref="C7:C8"/>
    <mergeCell ref="D7:D8"/>
    <mergeCell ref="E7:E8"/>
    <mergeCell ref="B4:C4"/>
    <mergeCell ref="B5:C5"/>
  </mergeCells>
  <conditionalFormatting sqref="B14:D14 B15">
    <cfRule type="expression" dxfId="19" priority="79" stopIfTrue="1">
      <formula>$K9=2</formula>
    </cfRule>
    <cfRule type="expression" dxfId="18" priority="80" stopIfTrue="1">
      <formula>AND($K9=1,$Q9&lt;&gt;"")</formula>
    </cfRule>
  </conditionalFormatting>
  <conditionalFormatting sqref="C11:D12">
    <cfRule type="expression" dxfId="17" priority="11" stopIfTrue="1">
      <formula>$K8=2</formula>
    </cfRule>
    <cfRule type="expression" dxfId="16" priority="12" stopIfTrue="1">
      <formula>AND($K8=1,$Q8&lt;&gt;"")</formula>
    </cfRule>
  </conditionalFormatting>
  <conditionalFormatting sqref="C13:D13">
    <cfRule type="expression" dxfId="15" priority="83" stopIfTrue="1">
      <formula>$K9=2</formula>
    </cfRule>
    <cfRule type="expression" dxfId="14" priority="84" stopIfTrue="1">
      <formula>AND($K9=1,$Q9&lt;&gt;"")</formula>
    </cfRule>
  </conditionalFormatting>
  <conditionalFormatting sqref="F16:G16">
    <cfRule type="expression" dxfId="13" priority="2" stopIfTrue="1">
      <formula>OFFSET(F$32,0,-1)&gt;=1</formula>
    </cfRule>
  </conditionalFormatting>
  <conditionalFormatting sqref="F9:J15 H16:J18 F17:G17">
    <cfRule type="expression" dxfId="12" priority="14" stopIfTrue="1">
      <formula>F9&lt;&gt;0</formula>
    </cfRule>
  </conditionalFormatting>
  <conditionalFormatting sqref="G18">
    <cfRule type="expression" dxfId="11" priority="1" stopIfTrue="1">
      <formula>OFFSET(G$32,0,-1)&gt;=1</formula>
    </cfRule>
  </conditionalFormatting>
  <dataValidations count="3">
    <dataValidation type="date" operator="greaterThan" allowBlank="1" showInputMessage="1" showErrorMessage="1" errorTitle="Erro" error="Digite somente datas." sqref="F8:J8" xr:uid="{A48D05DD-1223-484E-9C12-F6657675C469}">
      <formula1>36526</formula1>
    </dataValidation>
    <dataValidation type="whole" operator="greaterThan" allowBlank="1" showErrorMessage="1" sqref="F7" xr:uid="{1D3363F3-FF24-425A-95A7-3C8C8FF7A437}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F17:J17 H18:J18 H16:I16 J9:J16 F9:I15" xr:uid="{AC027FE9-5468-47AD-A7EB-8D4777257594}"/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49FE-9209-4521-B2A7-DDE425C25950}">
  <dimension ref="A1:Q36"/>
  <sheetViews>
    <sheetView topLeftCell="A22" zoomScaleNormal="100" workbookViewId="0">
      <selection activeCell="J25" sqref="J25"/>
    </sheetView>
  </sheetViews>
  <sheetFormatPr defaultRowHeight="15" x14ac:dyDescent="0.25"/>
  <cols>
    <col min="1" max="1" width="1.85546875" style="81" customWidth="1"/>
    <col min="2" max="3" width="9.140625" style="80"/>
    <col min="4" max="4" width="71.5703125" style="80" customWidth="1"/>
    <col min="5" max="5" width="10.7109375" style="80" customWidth="1"/>
    <col min="6" max="6" width="11.5703125" style="80" customWidth="1"/>
    <col min="7" max="7" width="30.28515625" style="80" customWidth="1"/>
    <col min="8" max="8" width="16.5703125" style="80" customWidth="1"/>
    <col min="9" max="9" width="16" style="80" customWidth="1"/>
    <col min="10" max="10" width="15" style="80" customWidth="1"/>
    <col min="11" max="12" width="2.140625" style="80" customWidth="1"/>
    <col min="13" max="13" width="9.140625" style="80"/>
    <col min="14" max="14" width="10.140625" style="80" customWidth="1"/>
    <col min="15" max="15" width="12.7109375" style="80" customWidth="1"/>
    <col min="16" max="16" width="9.140625" style="80"/>
    <col min="17" max="17" width="11" style="80" customWidth="1"/>
    <col min="18" max="16384" width="9.140625" style="80"/>
  </cols>
  <sheetData>
    <row r="1" spans="1:17" x14ac:dyDescent="0.25">
      <c r="A1" s="89"/>
      <c r="B1" s="88"/>
      <c r="C1" s="88"/>
      <c r="D1" s="88"/>
      <c r="E1" s="88"/>
      <c r="F1" s="88"/>
      <c r="G1" s="88"/>
      <c r="H1" s="88"/>
      <c r="I1" s="88"/>
      <c r="J1" s="88"/>
      <c r="K1" s="91"/>
      <c r="L1" s="81"/>
    </row>
    <row r="2" spans="1:17" ht="15.75" x14ac:dyDescent="0.25">
      <c r="A2" s="90"/>
      <c r="B2" s="226" t="s">
        <v>66</v>
      </c>
      <c r="C2" s="226"/>
      <c r="D2" s="226"/>
      <c r="E2" s="226"/>
      <c r="F2" s="226"/>
      <c r="G2" s="226"/>
      <c r="H2" s="226"/>
      <c r="I2" s="226"/>
      <c r="J2" s="226"/>
      <c r="K2" s="92"/>
      <c r="L2" s="81"/>
    </row>
    <row r="3" spans="1:17" ht="15.75" x14ac:dyDescent="0.25">
      <c r="A3" s="90"/>
      <c r="B3" s="226" t="s">
        <v>99</v>
      </c>
      <c r="C3" s="226"/>
      <c r="D3" s="226"/>
      <c r="E3" s="226"/>
      <c r="F3" s="226"/>
      <c r="G3" s="226"/>
      <c r="H3" s="226"/>
      <c r="I3" s="226"/>
      <c r="J3" s="226"/>
      <c r="K3" s="92"/>
      <c r="L3" s="81"/>
    </row>
    <row r="4" spans="1:17" x14ac:dyDescent="0.25">
      <c r="A4" s="90"/>
      <c r="B4" s="81"/>
      <c r="C4" s="81"/>
      <c r="D4" s="81"/>
      <c r="E4" s="81"/>
      <c r="F4" s="81"/>
      <c r="G4" s="81"/>
      <c r="H4" s="81"/>
      <c r="I4" s="81"/>
      <c r="J4" s="81"/>
      <c r="K4" s="92"/>
      <c r="L4" s="81"/>
    </row>
    <row r="5" spans="1:17" x14ac:dyDescent="0.25">
      <c r="A5" s="90"/>
      <c r="B5" s="231" t="s">
        <v>2</v>
      </c>
      <c r="C5" s="232"/>
      <c r="D5" s="232"/>
      <c r="E5" s="231" t="s">
        <v>42</v>
      </c>
      <c r="F5" s="232"/>
      <c r="G5" s="232"/>
      <c r="H5" s="232"/>
      <c r="I5" s="232"/>
      <c r="J5" s="232"/>
      <c r="K5" s="92"/>
      <c r="L5" s="81"/>
    </row>
    <row r="6" spans="1:17" ht="33" customHeight="1" x14ac:dyDescent="0.25">
      <c r="A6" s="90"/>
      <c r="B6" s="241" t="str">
        <f>ORÇAMENTO!B5</f>
        <v>PREFEITURA MUNICIPAL DE SÃO JOÃO DA LAGOA</v>
      </c>
      <c r="C6" s="253"/>
      <c r="D6" s="253"/>
      <c r="E6" s="234" t="str">
        <f>CRONOGRAMA!D5</f>
        <v>PAVIMENTAÇÃO ASFÁLTICA EM CBUQ EM VIAS URBANAS DO DISTRITO DE SÃO ROBERTO DE MINAS, MUNICÍPIO DE SÃO JOÃO DA LAGOA - MG</v>
      </c>
      <c r="F6" s="235"/>
      <c r="G6" s="235"/>
      <c r="H6" s="235"/>
      <c r="I6" s="235"/>
      <c r="J6" s="235"/>
      <c r="K6" s="92"/>
      <c r="L6" s="81"/>
    </row>
    <row r="7" spans="1:17" x14ac:dyDescent="0.25">
      <c r="A7" s="90"/>
      <c r="B7" s="81"/>
      <c r="C7" s="81"/>
      <c r="D7" s="82"/>
      <c r="E7" s="82"/>
      <c r="F7" s="82"/>
      <c r="G7" s="82"/>
      <c r="H7" s="83"/>
      <c r="I7" s="83"/>
      <c r="J7" s="83"/>
      <c r="K7" s="92"/>
      <c r="L7" s="81"/>
    </row>
    <row r="8" spans="1:17" ht="101.25" customHeight="1" x14ac:dyDescent="0.25">
      <c r="A8" s="90"/>
      <c r="B8" s="81"/>
      <c r="C8" s="81"/>
      <c r="D8" s="81"/>
      <c r="E8" s="81"/>
      <c r="F8" s="81"/>
      <c r="G8" s="81"/>
      <c r="H8" s="119" t="s">
        <v>64</v>
      </c>
      <c r="I8" s="112" t="s">
        <v>168</v>
      </c>
      <c r="J8" s="112" t="s">
        <v>179</v>
      </c>
      <c r="K8" s="92"/>
      <c r="L8" s="81"/>
    </row>
    <row r="9" spans="1:17" ht="25.5" x14ac:dyDescent="0.25">
      <c r="A9" s="90"/>
      <c r="B9" s="31" t="s">
        <v>46</v>
      </c>
      <c r="C9" s="66" t="s">
        <v>47</v>
      </c>
      <c r="D9" s="31" t="s">
        <v>50</v>
      </c>
      <c r="E9" s="32" t="s">
        <v>51</v>
      </c>
      <c r="F9" s="31" t="s">
        <v>52</v>
      </c>
      <c r="G9" s="31" t="s">
        <v>60</v>
      </c>
      <c r="H9" s="31" t="s">
        <v>62</v>
      </c>
      <c r="I9" s="31">
        <v>1</v>
      </c>
      <c r="J9" s="31">
        <v>1</v>
      </c>
      <c r="K9" s="92"/>
      <c r="L9" s="81"/>
    </row>
    <row r="10" spans="1:17" ht="38.25" x14ac:dyDescent="0.25">
      <c r="A10" s="90"/>
      <c r="B10" s="72" t="str">
        <f>IF(TIPOORCAMENTO="LICITADO","CTEF","LOTE")</f>
        <v>LOTE</v>
      </c>
      <c r="C10" s="250" t="str">
        <f>CRONOGRAMA!D5</f>
        <v>PAVIMENTAÇÃO ASFÁLTICA EM CBUQ EM VIAS URBANAS DO DISTRITO DE SÃO ROBERTO DE MINAS, MUNICÍPIO DE SÃO JOÃO DA LAGOA - MG</v>
      </c>
      <c r="D10" s="251"/>
      <c r="E10" s="251"/>
      <c r="F10" s="251"/>
      <c r="G10" s="252"/>
      <c r="H10" s="120" t="s">
        <v>63</v>
      </c>
      <c r="I10" s="73">
        <f>SUM(I12+I15+I20+I23)</f>
        <v>280053.32</v>
      </c>
      <c r="J10" s="73">
        <f>SUM(J12+J15+J20+J23)</f>
        <v>328763.69</v>
      </c>
      <c r="K10" s="92"/>
      <c r="L10" s="81"/>
      <c r="N10" s="127">
        <f>SUM(I10:J10)</f>
        <v>608817.01</v>
      </c>
      <c r="O10" s="127" t="e">
        <f>SUM(#REF!)</f>
        <v>#REF!</v>
      </c>
      <c r="Q10" s="128">
        <f>SUM(Q11:Q24)</f>
        <v>566764.85</v>
      </c>
    </row>
    <row r="11" spans="1:17" x14ac:dyDescent="0.25">
      <c r="A11" s="90"/>
      <c r="B11" s="84" t="s">
        <v>55</v>
      </c>
      <c r="C11" s="74">
        <v>1</v>
      </c>
      <c r="D11" s="84" t="str">
        <f>ORÇAMENTO!E12</f>
        <v>PAVIMENTAÇÃO DE VIA PÚBLICA NO DISTRITO DE SÃO ROBERTO DE MINAS</v>
      </c>
      <c r="E11" s="75" t="str">
        <f ca="1">IF($E11&lt;&gt;"Serviço","",OFFSET([1]ORÇAMENTO!P$15,ROW(E11)-ROW(E$10),0))</f>
        <v/>
      </c>
      <c r="F11" s="46">
        <f ca="1">IF($E11&lt;&gt;"Serviço",0,IF(ACOMPANHAMENTO="BM",ROUND(OFFSET([1]ORÇAMENTO!AG$15,ROW(F11)-ROW(F$10),0),15-13*[1]ORÇAMENTO!$AF$7),SUMPRODUCT((#REF!&lt;&gt;"")*ROUND($K11:$P11,15-13*[1]ORÇAMENTO!$AF$7))))</f>
        <v>0</v>
      </c>
      <c r="G11" s="76"/>
      <c r="H11" s="77" t="str">
        <f ca="1">IF($E11&lt;&gt;"Serviço","",IF(AUTOEVENTO="Manual",IF(#REF!=0,"&lt;-- defina o número do agrupador",OFFSET([1]EVENTOS!$D$14,#REF!,0)),OFFSET($G$10,#REF!,0)))</f>
        <v/>
      </c>
      <c r="I11" s="78"/>
      <c r="J11" s="78"/>
      <c r="K11" s="92"/>
      <c r="L11" s="81"/>
    </row>
    <row r="12" spans="1:17" x14ac:dyDescent="0.25">
      <c r="A12" s="90"/>
      <c r="B12" s="79" t="s">
        <v>56</v>
      </c>
      <c r="C12" s="74" t="s">
        <v>80</v>
      </c>
      <c r="D12" s="85" t="str">
        <f>ORÇAMENTO!E13</f>
        <v>SERVIÇOS PRELIMINARES</v>
      </c>
      <c r="E12" s="75" t="str">
        <f ca="1">IF($E12&lt;&gt;"Serviço","",OFFSET([1]ORÇAMENTO!P$15,ROW(E12)-ROW(E$10),0))</f>
        <v/>
      </c>
      <c r="F12" s="46">
        <f ca="1">IF($E12&lt;&gt;"Serviço",0,IF(ACOMPANHAMENTO="BM",ROUND(OFFSET([1]ORÇAMENTO!AG$15,ROW(F12)-ROW(F$10),0),15-13*[1]ORÇAMENTO!$AF$7),SUMPRODUCT((#REF!&lt;&gt;"")*ROUND($K12:$P12,15-13*[1]ORÇAMENTO!$AF$7))))</f>
        <v>0</v>
      </c>
      <c r="G12" s="76"/>
      <c r="H12" s="77" t="str">
        <f ca="1">IF($E12&lt;&gt;"Serviço","",IF(AUTOEVENTO="Manual",IF(#REF!=0,"&lt;-- defina o número do agrupador",OFFSET([1]EVENTOS!$D$14,#REF!,0)),OFFSET($G$10,#REF!,0)))</f>
        <v/>
      </c>
      <c r="I12" s="78">
        <f>ROUND(((I13*$O$13)+(I14*$O$14)),2)</f>
        <v>3435.95</v>
      </c>
      <c r="J12" s="78">
        <f>ROUND(((J13*$O$13)+(J14*$O$14)),2)</f>
        <v>2132.4</v>
      </c>
      <c r="K12" s="92"/>
      <c r="L12" s="81"/>
    </row>
    <row r="13" spans="1:17" ht="75" x14ac:dyDescent="0.25">
      <c r="A13" s="90"/>
      <c r="B13" s="86" t="s">
        <v>55</v>
      </c>
      <c r="C13" s="67" t="s">
        <v>81</v>
      </c>
      <c r="D13" s="115" t="str">
        <f>ORÇAMENTO!E14</f>
        <v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v>
      </c>
      <c r="E13" s="68" t="str">
        <f ca="1">IF($E13&lt;&gt;"Serviço","",OFFSET([1]ORÇAMENTO!P$15,ROW(E13)-ROW(E$10),0))</f>
        <v/>
      </c>
      <c r="F13" s="53">
        <f>SUM(I13:J13)</f>
        <v>1</v>
      </c>
      <c r="G13" s="69" t="s">
        <v>61</v>
      </c>
      <c r="H13" s="70" t="str">
        <f>D12</f>
        <v>SERVIÇOS PRELIMINARES</v>
      </c>
      <c r="I13" s="71">
        <v>1</v>
      </c>
      <c r="J13" s="71"/>
      <c r="K13" s="92"/>
      <c r="L13" s="81"/>
      <c r="O13" s="80">
        <f>ORÇAMENTO!I14</f>
        <v>1481.25</v>
      </c>
      <c r="Q13" s="80">
        <f>ROUND(F13*O13,2)</f>
        <v>1481.25</v>
      </c>
    </row>
    <row r="14" spans="1:17" ht="60" x14ac:dyDescent="0.25">
      <c r="A14" s="90"/>
      <c r="B14" s="86" t="s">
        <v>55</v>
      </c>
      <c r="C14" s="67" t="s">
        <v>165</v>
      </c>
      <c r="D14" s="115" t="str">
        <f>ORÇAMENTO!E15</f>
        <v>LOCAÇÃO TOPOGRÁFICA DE VINTE UM (21) ATÉ CINQUENTA (50) PONTOS REFERENCIAIS, INCLUSIVE ESTACA (PIQUETE) DE MARCAÇÃO</v>
      </c>
      <c r="E14" s="68" t="str">
        <f ca="1">IF($E14&lt;&gt;"Serviço","",OFFSET([1]ORÇAMENTO!P$15,ROW(E14)-ROW(E$10),0))</f>
        <v/>
      </c>
      <c r="F14" s="53">
        <f>SUM(I14:J14)</f>
        <v>46</v>
      </c>
      <c r="G14" s="69" t="s">
        <v>187</v>
      </c>
      <c r="H14" s="70" t="str">
        <f>D12</f>
        <v>SERVIÇOS PRELIMINARES</v>
      </c>
      <c r="I14" s="71">
        <v>22</v>
      </c>
      <c r="J14" s="71">
        <v>24</v>
      </c>
      <c r="K14" s="92"/>
      <c r="L14" s="81"/>
      <c r="O14" s="80">
        <f>ORÇAMENTO!I15</f>
        <v>88.85</v>
      </c>
    </row>
    <row r="15" spans="1:17" x14ac:dyDescent="0.25">
      <c r="A15" s="90"/>
      <c r="B15" s="79" t="s">
        <v>56</v>
      </c>
      <c r="C15" s="74" t="str">
        <f>ORÇAMENTO!B16</f>
        <v>1.2</v>
      </c>
      <c r="D15" s="85" t="str">
        <f>ORÇAMENTO!E16</f>
        <v>IMPRIMAÇÃO E PINTURA DE LIGAÇÃO</v>
      </c>
      <c r="E15" s="75" t="str">
        <f ca="1">IF($E15&lt;&gt;"Serviço","",OFFSET([1]ORÇAMENTO!P$15,ROW(E15)-ROW(E$10),0))</f>
        <v/>
      </c>
      <c r="F15" s="46">
        <v>0</v>
      </c>
      <c r="G15" s="76"/>
      <c r="H15" s="77" t="str">
        <f ca="1">IF($E15&lt;&gt;"Serviço","",IF(AUTOEVENTO="Manual",IF(#REF!=0,"&lt;-- defina o número do agrupador",OFFSET([1]EVENTOS!$D$14,#REF!,0)),OFFSET($G$10,#REF!,0)))</f>
        <v/>
      </c>
      <c r="I15" s="78">
        <f>ROUND(((I16*$O$16)+(I17*$O$17)+(I18*$O$18)+(I19*$O$19)),2)</f>
        <v>22494.3</v>
      </c>
      <c r="J15" s="78">
        <f>ROUND(((J16*$O$16)+(J17*$O$17)+(J18*$O$18)+(J19*$O$19)),2)</f>
        <v>27496.09</v>
      </c>
      <c r="K15" s="92"/>
      <c r="L15" s="81"/>
      <c r="O15" s="170">
        <f>SUM(I15:J15)</f>
        <v>49990.39</v>
      </c>
      <c r="Q15" s="80">
        <f>ROUND(F15*O15,2)</f>
        <v>0</v>
      </c>
    </row>
    <row r="16" spans="1:17" ht="105" x14ac:dyDescent="0.25">
      <c r="A16" s="90"/>
      <c r="B16" s="86" t="s">
        <v>55</v>
      </c>
      <c r="C16" s="67" t="str">
        <f>ORÇAMENTO!B17</f>
        <v>1.2.1</v>
      </c>
      <c r="D16" s="87" t="str">
        <f>ORÇAMENTO!E17</f>
        <v>EXECUÇÃO DE IMPRIMAÇÃO COM EMULSÃO ASFÁLTICA PARA SERVIÇO DE IMPRIMAÇÃO (EAI)</v>
      </c>
      <c r="E16" s="68" t="str">
        <f>ORÇAMENTO!F17</f>
        <v>M²</v>
      </c>
      <c r="F16" s="53">
        <f t="shared" ref="F16:F26" si="0">SUM(I16:J16)</f>
        <v>5806.51</v>
      </c>
      <c r="G16" s="69" t="s">
        <v>188</v>
      </c>
      <c r="H16" s="70" t="str">
        <f>D15</f>
        <v>IMPRIMAÇÃO E PINTURA DE LIGAÇÃO</v>
      </c>
      <c r="I16" s="121">
        <f>991.74+36.57+1584.46</f>
        <v>2612.77</v>
      </c>
      <c r="J16" s="121">
        <v>3193.74</v>
      </c>
      <c r="K16" s="92"/>
      <c r="L16" s="81"/>
      <c r="O16" s="80">
        <f>ORÇAMENTO!I17</f>
        <v>5.0999999999999996</v>
      </c>
    </row>
    <row r="17" spans="1:17" ht="120" x14ac:dyDescent="0.25">
      <c r="A17" s="90"/>
      <c r="B17" s="86" t="s">
        <v>55</v>
      </c>
      <c r="C17" s="67" t="str">
        <f>ORÇAMENTO!B18</f>
        <v>1.2.2</v>
      </c>
      <c r="D17" s="87" t="str">
        <f>ORÇAMENTO!E18</f>
        <v>TRANSPORTE COM CAMINHÃO TANQUE DE TRANSPORTE DE MATERIAL ASFÁLTICO DE 30000 L, EM VIA URBANA PAVIMENTADA, ADICIONAL PARA DMT EXCEDENTE A 30 KM (UNIDADE: TXKM). AF_07/2020 (EMULSÃO ASFÁLTICA PARA SERVIÇO DE IMPRIMAÇÃO - REFINARIA&gt;OBRA - DMT EXCEDENTE A 30,00KM - DMT TOTAL ATÉ 457,00KM)</v>
      </c>
      <c r="E17" s="68" t="str">
        <f>ORÇAMENTO!F18</f>
        <v>TxKM</v>
      </c>
      <c r="F17" s="53">
        <f t="shared" si="0"/>
        <v>3184.29</v>
      </c>
      <c r="G17" s="69" t="s">
        <v>190</v>
      </c>
      <c r="H17" s="70" t="str">
        <f>H16</f>
        <v>IMPRIMAÇÃO E PINTURA DE LIGAÇÃO</v>
      </c>
      <c r="I17" s="121">
        <f>ROUND(I16*0.0012*457,2)</f>
        <v>1432.84</v>
      </c>
      <c r="J17" s="121">
        <f>ROUND(J16*0.0012*457,2)</f>
        <v>1751.45</v>
      </c>
      <c r="K17" s="92"/>
      <c r="L17" s="81"/>
      <c r="O17" s="80">
        <f>ORÇAMENTO!I18</f>
        <v>0.72</v>
      </c>
    </row>
    <row r="18" spans="1:17" ht="105" x14ac:dyDescent="0.25">
      <c r="A18" s="90"/>
      <c r="B18" s="86" t="s">
        <v>55</v>
      </c>
      <c r="C18" s="67" t="str">
        <f>ORÇAMENTO!B19</f>
        <v>1.2.3</v>
      </c>
      <c r="D18" s="87" t="str">
        <f>ORÇAMENTO!E19</f>
        <v>EXECUÇÃO DE PINTURA DE LIGAÇÃO COM EMULSÃO ASFÁLTICA RR-2C.</v>
      </c>
      <c r="E18" s="68" t="str">
        <f>ORÇAMENTO!F19</f>
        <v>M²</v>
      </c>
      <c r="F18" s="53">
        <f t="shared" si="0"/>
        <v>5806.51</v>
      </c>
      <c r="G18" s="69" t="s">
        <v>188</v>
      </c>
      <c r="H18" s="70" t="str">
        <f t="shared" ref="H18:H26" si="1">H17</f>
        <v>IMPRIMAÇÃO E PINTURA DE LIGAÇÃO</v>
      </c>
      <c r="I18" s="121">
        <f>I16</f>
        <v>2612.77</v>
      </c>
      <c r="J18" s="121">
        <f>J16</f>
        <v>3193.74</v>
      </c>
      <c r="K18" s="92"/>
      <c r="L18" s="81"/>
      <c r="O18" s="80">
        <f>ORÇAMENTO!I19</f>
        <v>2.95</v>
      </c>
      <c r="Q18" s="80">
        <f t="shared" ref="Q18:Q24" si="2">ROUND(F18*O18,2)</f>
        <v>17129.2</v>
      </c>
    </row>
    <row r="19" spans="1:17" ht="120" x14ac:dyDescent="0.25">
      <c r="A19" s="90"/>
      <c r="B19" s="86" t="s">
        <v>55</v>
      </c>
      <c r="C19" s="67" t="str">
        <f>ORÇAMENTO!B20</f>
        <v>1.2.4</v>
      </c>
      <c r="D19" s="87" t="str">
        <f>ORÇAMENTO!E20</f>
        <v>TRANSPORTE COM CAMINHÃO TANQUE DE TRANSPORTE DE MATERIAL ASFÁLTICO DE 30000 L, EM VIA URBANA PAVIMENTADA, ADICIONAL PARA DMT EXCEDENTE A 30 KM (UNIDADE: TXKM). AF_07/2020 (EMULSÃO ASFÁLTICA RR-2C PARA SERVIÇO DE PINTURA DE LIGAÇÃO - REFINARIA&gt;OBRA  - DMT ATÉ 30,00KM - DMT TOTAL ATÉ 457,00KM)</v>
      </c>
      <c r="E19" s="68" t="str">
        <f>ORÇAMENTO!F20</f>
        <v>TxKM</v>
      </c>
      <c r="F19" s="312">
        <f t="shared" si="0"/>
        <v>1326.79</v>
      </c>
      <c r="G19" s="69" t="s">
        <v>189</v>
      </c>
      <c r="H19" s="70" t="str">
        <f t="shared" si="1"/>
        <v>IMPRIMAÇÃO E PINTURA DE LIGAÇÃO</v>
      </c>
      <c r="I19" s="121">
        <f>ROUND(I18*0.0005*457,2)</f>
        <v>597.02</v>
      </c>
      <c r="J19" s="121">
        <f>ROUND(J18*0.0005*457,2)</f>
        <v>729.77</v>
      </c>
      <c r="K19" s="92"/>
      <c r="L19" s="81"/>
      <c r="O19" s="80">
        <f>ORÇAMENTO!I20</f>
        <v>0.72</v>
      </c>
      <c r="Q19" s="80">
        <f t="shared" si="2"/>
        <v>955.29</v>
      </c>
    </row>
    <row r="20" spans="1:17" x14ac:dyDescent="0.25">
      <c r="A20" s="90"/>
      <c r="B20" s="79" t="s">
        <v>56</v>
      </c>
      <c r="C20" s="74" t="str">
        <f>ORÇAMENTO!B21</f>
        <v>1.3</v>
      </c>
      <c r="D20" s="85" t="str">
        <f>ORÇAMENTO!E21</f>
        <v>PAVIMENTAÇÃO</v>
      </c>
      <c r="E20" s="75" t="str">
        <f ca="1">IF($E20&lt;&gt;"Serviço","",OFFSET([1]ORÇAMENTO!P$15,ROW(E20)-ROW(E$10),0))</f>
        <v/>
      </c>
      <c r="F20" s="46">
        <v>0</v>
      </c>
      <c r="G20" s="76"/>
      <c r="H20" s="77" t="str">
        <f ca="1">IF($E20&lt;&gt;"Serviço","",IF(AUTOEVENTO="Manual",IF(#REF!=0,"&lt;-- defina o número do agrupador",OFFSET([1]EVENTOS!$D$14,#REF!,0)),OFFSET($G$10,#REF!,0)))</f>
        <v/>
      </c>
      <c r="I20" s="78">
        <f>ROUND(((I21*$O$21)+(I22*$O$22)),2)</f>
        <v>186270.85</v>
      </c>
      <c r="J20" s="78">
        <f>ROUND(((J21*$O$21)+(J22*$O$22)),2)</f>
        <v>227693.42</v>
      </c>
      <c r="K20" s="92"/>
      <c r="L20" s="81"/>
      <c r="O20" s="170">
        <f>SUM(I20:J20)</f>
        <v>413964.27</v>
      </c>
      <c r="Q20" s="80">
        <f t="shared" si="2"/>
        <v>0</v>
      </c>
    </row>
    <row r="21" spans="1:17" ht="45" customHeight="1" x14ac:dyDescent="0.25">
      <c r="A21" s="90"/>
      <c r="B21" s="86" t="s">
        <v>55</v>
      </c>
      <c r="C21" s="67" t="str">
        <f>ORÇAMENTO!B22</f>
        <v>1.3.1</v>
      </c>
      <c r="D21" s="87" t="str">
        <f>ORÇAMENTO!E22</f>
        <v>EXECUÇÃO E APLICAÇÃO DE CONCRETO BETUMINOSO USINADO A QUENTE (CBUQ), MASSA COMERCIAL, INCLUINDO FORNECIMENTO E TRANSPORTE DOS AGREGADOS E MATERIAL BETUMINOSO, EXCLUSIVE TRANSPORTE DA MASSA ASFÁLTICA ATÉ A PISTA</v>
      </c>
      <c r="E21" s="68" t="str">
        <f>ORÇAMENTO!F22</f>
        <v>M³</v>
      </c>
      <c r="F21" s="53">
        <f t="shared" si="0"/>
        <v>174.19</v>
      </c>
      <c r="G21" s="69" t="s">
        <v>191</v>
      </c>
      <c r="H21" s="70" t="str">
        <f>H19</f>
        <v>IMPRIMAÇÃO E PINTURA DE LIGAÇÃO</v>
      </c>
      <c r="I21" s="121">
        <f>ROUND(I16*0.03,2)</f>
        <v>78.38</v>
      </c>
      <c r="J21" s="121">
        <f>ROUND(J16*0.03,2)</f>
        <v>95.81</v>
      </c>
      <c r="K21" s="92"/>
      <c r="L21" s="81"/>
      <c r="O21" s="80">
        <f>ORÇAMENTO!I22</f>
        <v>2307.39</v>
      </c>
      <c r="Q21" s="80">
        <f t="shared" si="2"/>
        <v>401924.26</v>
      </c>
    </row>
    <row r="22" spans="1:17" ht="105" x14ac:dyDescent="0.25">
      <c r="A22" s="90"/>
      <c r="B22" s="86" t="s">
        <v>55</v>
      </c>
      <c r="C22" s="67" t="str">
        <f>ORÇAMENTO!B23</f>
        <v>1.3.2</v>
      </c>
      <c r="D22" s="87" t="str">
        <f>ORÇAMENTO!E23</f>
        <v>TRANSPORTE COM CAMINHÃO BASCULANTE DE 10 M³, EM VIA URBANA PAVIMENTADA, ADICIONAL PARA DMT EXCEDENTE A 30 KM (UNIDADE: M3XKM). AF_07/2020 (MASSA CBUQ - USINA&gt;OBRA - DMT ATÉ 54,00KM)</v>
      </c>
      <c r="E22" s="68" t="str">
        <f>ORÇAMENTO!F23</f>
        <v>M³xKM</v>
      </c>
      <c r="F22" s="53">
        <f t="shared" si="0"/>
        <v>9406.2599999999984</v>
      </c>
      <c r="G22" s="69" t="s">
        <v>192</v>
      </c>
      <c r="H22" s="70" t="str">
        <f t="shared" si="1"/>
        <v>IMPRIMAÇÃO E PINTURA DE LIGAÇÃO</v>
      </c>
      <c r="I22" s="121">
        <f>I21*54</f>
        <v>4232.5199999999995</v>
      </c>
      <c r="J22" s="121">
        <f>J21*54</f>
        <v>5173.74</v>
      </c>
      <c r="K22" s="92"/>
      <c r="L22" s="81"/>
      <c r="O22" s="80">
        <f>ORÇAMENTO!I23</f>
        <v>1.28</v>
      </c>
      <c r="Q22" s="80">
        <f t="shared" si="2"/>
        <v>12040.01</v>
      </c>
    </row>
    <row r="23" spans="1:17" x14ac:dyDescent="0.25">
      <c r="A23" s="90"/>
      <c r="B23" s="79" t="s">
        <v>56</v>
      </c>
      <c r="C23" s="74" t="str">
        <f>ORÇAMENTO!B24</f>
        <v>1.4</v>
      </c>
      <c r="D23" s="85" t="str">
        <f>ORÇAMENTO!E24</f>
        <v>MEIO-FIO / DRENAGEM</v>
      </c>
      <c r="E23" s="75" t="str">
        <f ca="1">IF($E23&lt;&gt;"Serviço","",OFFSET([1]ORÇAMENTO!P$15,ROW(E23)-ROW(E$10),0))</f>
        <v/>
      </c>
      <c r="F23" s="46">
        <v>0</v>
      </c>
      <c r="G23" s="76"/>
      <c r="H23" s="77" t="str">
        <f ca="1">IF($E23&lt;&gt;"Serviço","",IF(AUTOEVENTO="Manual",IF(#REF!=0,"&lt;-- defina o número do agrupador",OFFSET([1]EVENTOS!$D$14,#REF!,0)),OFFSET($G$10,#REF!,0)))</f>
        <v/>
      </c>
      <c r="I23" s="78">
        <f>ROUND(((I24*$O$24)+(I25*$O$25)+(I26*$O$26)),2)</f>
        <v>67852.22</v>
      </c>
      <c r="J23" s="78">
        <f>ROUND(((J24*$O$24)+(J25*$O$25)+(J26*$O$26)),2)</f>
        <v>71441.78</v>
      </c>
      <c r="K23" s="92"/>
      <c r="L23" s="81"/>
      <c r="O23" s="170">
        <f>SUM(I23:J23)</f>
        <v>139294</v>
      </c>
      <c r="Q23" s="80">
        <f t="shared" si="2"/>
        <v>0</v>
      </c>
    </row>
    <row r="24" spans="1:17" ht="225" x14ac:dyDescent="0.25">
      <c r="A24" s="90"/>
      <c r="B24" s="86" t="s">
        <v>55</v>
      </c>
      <c r="C24" s="67" t="str">
        <f>ORÇAMENTO!B25</f>
        <v>1.4.1</v>
      </c>
      <c r="D24" s="87" t="str">
        <f>ORÇAMENTO!E25</f>
        <v>GUIA (MEIO-FIO) E SARJETA CONJUGADOS DE CONCRETO, MOLDADA IN LOCO EM TRECHO RETO COM EXTRUSORA, 45 CM BASE (15 CM BASE DA GUIA + 30 CM BASE DA SARJETA) X 22 CM ALTURA. AF_01/2024</v>
      </c>
      <c r="E24" s="68" t="str">
        <f>ORÇAMENTO!F25</f>
        <v>M</v>
      </c>
      <c r="F24" s="53">
        <f t="shared" si="0"/>
        <v>1707.92</v>
      </c>
      <c r="G24" s="69" t="s">
        <v>193</v>
      </c>
      <c r="H24" s="70" t="str">
        <f>H22</f>
        <v>IMPRIMAÇÃO E PINTURA DE LIGAÇÃO</v>
      </c>
      <c r="I24" s="71">
        <f>(12.08+5.58+8.29+8.21+11.6+10.04+29.12+22.6+20.32+25.7+8.56)+(12.11+6.25+9.5+9.4+12.56+10.6+29.27+22.6+20.25+25.46+8.46)+(16.32+38+36.03+46.66+50.06+47.43+23.37+4.84)+(16.37+38.17+36.19+46.69+50.03+47.51+23.5+5.07)</f>
        <v>854.8</v>
      </c>
      <c r="J24" s="71">
        <f>135.74+137.65+52.3+1.36+19.31+4.93+10.64+44.84+45.55+11.18+17.54+23.86+64.12+284.1</f>
        <v>853.12</v>
      </c>
      <c r="K24" s="92"/>
      <c r="L24" s="81"/>
      <c r="O24" s="80">
        <f>ORÇAMENTO!I25</f>
        <v>78.010000000000005</v>
      </c>
      <c r="Q24" s="80">
        <f t="shared" si="2"/>
        <v>133234.84</v>
      </c>
    </row>
    <row r="25" spans="1:17" ht="60" x14ac:dyDescent="0.25">
      <c r="A25" s="90"/>
      <c r="B25" s="86" t="s">
        <v>55</v>
      </c>
      <c r="C25" s="67" t="str">
        <f>ORÇAMENTO!B26</f>
        <v>1.4.2</v>
      </c>
      <c r="D25" s="87" t="str">
        <f>ORÇAMENTO!E26</f>
        <v>GUIA (MEIO-FIO) E SARJETA CONJUGADOS DE CONCRETO, MOLDADA IN LOCO EM TRECHO CURVO COM EXTRUSORA, 45 CM BASE (15 CM BASE DA GUIA + 30 CM BASE DA SARJETA) X 22 CM ALTURA. AF_01/2024</v>
      </c>
      <c r="E25" s="68" t="str">
        <f>ORÇAMENTO!F26</f>
        <v>M</v>
      </c>
      <c r="F25" s="53">
        <f t="shared" si="0"/>
        <v>21.26</v>
      </c>
      <c r="G25" s="69" t="s">
        <v>194</v>
      </c>
      <c r="H25" s="70" t="str">
        <f t="shared" si="1"/>
        <v>IMPRIMAÇÃO E PINTURA DE LIGAÇÃO</v>
      </c>
      <c r="I25" s="71"/>
      <c r="J25" s="71">
        <f>(1.86+4.16+1.2+6.43+2.81+4.8)</f>
        <v>21.26</v>
      </c>
      <c r="K25" s="92"/>
      <c r="L25" s="81"/>
      <c r="O25" s="80">
        <f>ORÇAMENTO!I26</f>
        <v>86.29</v>
      </c>
    </row>
    <row r="26" spans="1:17" ht="75" x14ac:dyDescent="0.25">
      <c r="A26" s="90"/>
      <c r="B26" s="86" t="s">
        <v>55</v>
      </c>
      <c r="C26" s="67" t="str">
        <f>ORÇAMENTO!B27</f>
        <v>1.4.3</v>
      </c>
      <c r="D26" s="87" t="str">
        <f>ORÇAMENTO!E27</f>
        <v>ASSENTAMENTO DE GUIA (MEIO-FIO) EM TRECHO RETO, CONFECCIONADA EM CONCRETO PRÉ-FABRICADO, DIMENSÕES 100X15X13X30 CM (COMPRIMENTO X BASE INFERIOR X BASE SUPERIOR X ALTURA). AF_01/2024</v>
      </c>
      <c r="E26" s="68" t="str">
        <f>ORÇAMENTO!F27</f>
        <v>M</v>
      </c>
      <c r="F26" s="53">
        <f t="shared" si="0"/>
        <v>49.86</v>
      </c>
      <c r="G26" s="69" t="s">
        <v>195</v>
      </c>
      <c r="H26" s="70" t="str">
        <f t="shared" si="1"/>
        <v>IMPRIMAÇÃO E PINTURA DE LIGAÇÃO</v>
      </c>
      <c r="I26" s="71">
        <f>6.9+6.9</f>
        <v>13.8</v>
      </c>
      <c r="J26" s="71">
        <f>5.05+7.9+5.9+8.87+8.34</f>
        <v>36.06</v>
      </c>
      <c r="K26" s="92"/>
      <c r="L26" s="81"/>
      <c r="O26" s="80">
        <f>ORÇAMENTO!I27</f>
        <v>84.73</v>
      </c>
    </row>
    <row r="27" spans="1:17" x14ac:dyDescent="0.25">
      <c r="A27" s="90"/>
      <c r="B27" s="255"/>
      <c r="C27" s="255"/>
      <c r="D27" s="255"/>
      <c r="E27" s="255"/>
      <c r="F27" s="255"/>
      <c r="G27" s="255"/>
      <c r="H27" s="255"/>
      <c r="I27" s="255"/>
      <c r="J27" s="255"/>
      <c r="K27" s="92"/>
      <c r="L27" s="81"/>
    </row>
    <row r="28" spans="1:17" x14ac:dyDescent="0.25">
      <c r="A28" s="90"/>
      <c r="B28" s="81"/>
      <c r="C28" s="81"/>
      <c r="D28" s="81"/>
      <c r="E28" s="81"/>
      <c r="F28" s="81"/>
      <c r="G28" s="81"/>
      <c r="H28" s="81"/>
      <c r="I28" s="81"/>
      <c r="J28" s="81"/>
      <c r="K28" s="92"/>
      <c r="L28" s="81"/>
    </row>
    <row r="29" spans="1:17" x14ac:dyDescent="0.25">
      <c r="A29" s="90"/>
      <c r="B29" s="81"/>
      <c r="C29" s="81"/>
      <c r="D29" s="81"/>
      <c r="E29" s="81"/>
      <c r="F29" s="81"/>
      <c r="G29" s="81"/>
      <c r="H29" s="81"/>
      <c r="I29" s="81"/>
      <c r="J29" s="81"/>
      <c r="K29" s="92"/>
      <c r="L29" s="81"/>
    </row>
    <row r="30" spans="1:17" x14ac:dyDescent="0.25">
      <c r="A30" s="90"/>
      <c r="B30" s="81"/>
      <c r="C30" s="81"/>
      <c r="D30" s="81"/>
      <c r="E30" s="81"/>
      <c r="F30" s="81"/>
      <c r="G30" s="81"/>
      <c r="H30" s="81"/>
      <c r="I30" s="81"/>
      <c r="J30" s="81"/>
      <c r="K30" s="92"/>
      <c r="L30" s="81"/>
    </row>
    <row r="31" spans="1:17" x14ac:dyDescent="0.25">
      <c r="A31" s="90"/>
      <c r="B31" s="254" t="str">
        <f>CRONOGRAMA!B20</f>
        <v>SÃO JOÃO DA LAGOA</v>
      </c>
      <c r="C31" s="254"/>
      <c r="D31" s="254"/>
      <c r="E31" s="81"/>
      <c r="F31" s="81"/>
      <c r="G31" s="81"/>
      <c r="H31" s="246"/>
      <c r="I31" s="246"/>
      <c r="J31" s="246"/>
      <c r="K31" s="92"/>
      <c r="L31" s="81"/>
    </row>
    <row r="32" spans="1:17" x14ac:dyDescent="0.25">
      <c r="A32" s="90"/>
      <c r="B32" s="249" t="s">
        <v>25</v>
      </c>
      <c r="C32" s="249"/>
      <c r="D32" s="249"/>
      <c r="E32" s="81"/>
      <c r="F32" s="81"/>
      <c r="G32" s="81"/>
      <c r="H32" s="59" t="s">
        <v>27</v>
      </c>
      <c r="I32" s="59"/>
      <c r="J32" s="59"/>
      <c r="K32" s="92"/>
      <c r="L32" s="81"/>
    </row>
    <row r="33" spans="1:12" x14ac:dyDescent="0.2">
      <c r="A33" s="90"/>
      <c r="B33" s="247"/>
      <c r="C33" s="247"/>
      <c r="D33" s="247"/>
      <c r="E33" s="81"/>
      <c r="F33" s="81"/>
      <c r="G33" s="81"/>
      <c r="H33" s="15" t="s">
        <v>28</v>
      </c>
      <c r="I33" s="207" t="str">
        <f>CRONOGRAMA!G22</f>
        <v>LEONARDO PETERSON AMARAL LIMA</v>
      </c>
      <c r="J33" s="207"/>
      <c r="K33" s="92"/>
      <c r="L33" s="81"/>
    </row>
    <row r="34" spans="1:12" x14ac:dyDescent="0.2">
      <c r="A34" s="90"/>
      <c r="B34" s="248" t="str">
        <f>CRONOGRAMA!B23</f>
        <v>segunda-feira, 08 de abril de 2026</v>
      </c>
      <c r="C34" s="248"/>
      <c r="D34" s="248"/>
      <c r="E34" s="81"/>
      <c r="F34" s="81"/>
      <c r="G34" s="81"/>
      <c r="H34" s="15" t="s">
        <v>29</v>
      </c>
      <c r="I34" s="207" t="str">
        <f>CRONOGRAMA!G23</f>
        <v>331.073/D</v>
      </c>
      <c r="J34" s="207"/>
      <c r="K34" s="92"/>
      <c r="L34" s="81"/>
    </row>
    <row r="35" spans="1:12" x14ac:dyDescent="0.2">
      <c r="A35" s="90"/>
      <c r="B35" s="249" t="s">
        <v>26</v>
      </c>
      <c r="C35" s="249"/>
      <c r="D35" s="249"/>
      <c r="E35" s="81"/>
      <c r="F35" s="81"/>
      <c r="H35" s="15" t="s">
        <v>30</v>
      </c>
      <c r="I35" s="207" t="str">
        <f>CRONOGRAMA!G24</f>
        <v>MG20264927891</v>
      </c>
      <c r="J35" s="207"/>
      <c r="K35" s="92"/>
      <c r="L35" s="81"/>
    </row>
    <row r="36" spans="1:12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5"/>
      <c r="L36" s="81"/>
    </row>
  </sheetData>
  <mergeCells count="17">
    <mergeCell ref="B2:J2"/>
    <mergeCell ref="B3:J3"/>
    <mergeCell ref="C10:G10"/>
    <mergeCell ref="B6:D6"/>
    <mergeCell ref="H31:J31"/>
    <mergeCell ref="B31:D31"/>
    <mergeCell ref="B5:D5"/>
    <mergeCell ref="E5:J5"/>
    <mergeCell ref="E6:J6"/>
    <mergeCell ref="B27:J27"/>
    <mergeCell ref="I35:J35"/>
    <mergeCell ref="B33:D33"/>
    <mergeCell ref="B34:D34"/>
    <mergeCell ref="B35:D35"/>
    <mergeCell ref="B32:D32"/>
    <mergeCell ref="I33:J33"/>
    <mergeCell ref="I34:J34"/>
  </mergeCells>
  <phoneticPr fontId="14" type="noConversion"/>
  <conditionalFormatting sqref="H9:H26">
    <cfRule type="expression" dxfId="10" priority="57" stopIfTrue="1">
      <formula>OR(#REF!=0,#REF!=2,#REF!=3,#REF!=4)</formula>
    </cfRule>
    <cfRule type="expression" dxfId="9" priority="58" stopIfTrue="1">
      <formula>#REF!=1</formula>
    </cfRule>
  </conditionalFormatting>
  <conditionalFormatting sqref="H20:J20 H23:J23 H9:J15 H16:H19 H21:H22 I24:J24 H24:H26 H25:J26">
    <cfRule type="expression" dxfId="8" priority="56" stopIfTrue="1">
      <formula>ACOMPANHAMENTO="BM"</formula>
    </cfRule>
  </conditionalFormatting>
  <conditionalFormatting sqref="I9:J15 I24:J26">
    <cfRule type="expression" dxfId="7" priority="77" stopIfTrue="1">
      <formula>AND(#REF!&lt;&gt;".",OR(#REF!=0,#REF!=2,#REF!=3,#REF!=4,AND(#REF!="",#REF!&lt;&gt;"Empty"),OFFSET(#REF!,0,-1)=""))</formula>
    </cfRule>
    <cfRule type="expression" dxfId="6" priority="78" stopIfTrue="1">
      <formula>AND(#REF!=1,#REF!&lt;&gt;".")</formula>
    </cfRule>
  </conditionalFormatting>
  <conditionalFormatting sqref="I21:J22 I16:J19">
    <cfRule type="expression" dxfId="5" priority="5" stopIfTrue="1">
      <formula>$B16=1</formula>
    </cfRule>
    <cfRule type="expression" dxfId="4" priority="6" stopIfTrue="1">
      <formula>OR($B16=0,$B16=2,$B16=3,$B16=4)</formula>
    </cfRule>
  </conditionalFormatting>
  <conditionalFormatting sqref="I20:J20">
    <cfRule type="expression" dxfId="3" priority="3" stopIfTrue="1">
      <formula>AND(#REF!&lt;&gt;".",OR(#REF!=0,#REF!=2,#REF!=3,#REF!=4,AND(#REF!="",#REF!&lt;&gt;"Empty"),OFFSET(#REF!,0,-1)=""))</formula>
    </cfRule>
    <cfRule type="expression" dxfId="2" priority="4" stopIfTrue="1">
      <formula>AND(#REF!=1,#REF!&lt;&gt;".")</formula>
    </cfRule>
  </conditionalFormatting>
  <conditionalFormatting sqref="I23:J23">
    <cfRule type="expression" dxfId="1" priority="1" stopIfTrue="1">
      <formula>AND(#REF!&lt;&gt;".",OR(#REF!=0,#REF!=2,#REF!=3,#REF!=4,AND(#REF!="",#REF!&lt;&gt;"Empty"),OFFSET(#REF!,0,-1)=""))</formula>
    </cfRule>
    <cfRule type="expression" dxfId="0" priority="2" stopIfTrue="1">
      <formula>AND(#REF!=1,#REF!&lt;&gt;".")</formula>
    </cfRule>
  </conditionalFormatting>
  <dataValidations xWindow="542" yWindow="674" count="3">
    <dataValidation type="decimal" operator="greaterThan" allowBlank="1" showErrorMessage="1" error="Apenas números decimais maiores que zero." sqref="I23:J26 I20:J20 I11:J15" xr:uid="{E9188EB6-2007-4427-9BBE-81B451B70A7E}">
      <formula1>0</formula1>
      <formula2>0</formula2>
    </dataValidation>
    <dataValidation allowBlank="1" showInputMessage="1" showErrorMessage="1" prompt="A entrada de quantidades é feita na coluna AJ se acompanhamento por BM, ou na aba &quot;Memória de Cálculo/PLQ&quot; se acompanhamento por PLE." sqref="I21:J22 I16:J19" xr:uid="{F5F887BC-932C-4BAC-9512-24F43A43A83A}"/>
    <dataValidation allowBlank="1" showInputMessage="1" showErrorMessage="1" prompt="A quantidade é digitada nas colunas Q em diante, após preencher o nome das frentes de obra na célula Q12 em diante" sqref="F11:F26" xr:uid="{4B8BADBF-1D78-4CCB-B7D4-4F6F0027C514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horizontalDpi="0" verticalDpi="0" r:id="rId1"/>
  <ignoredErrors>
    <ignoredError sqref="I12:J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1CCC-0748-4F82-9A9D-91CE392BAC19}">
  <dimension ref="B2:J189"/>
  <sheetViews>
    <sheetView zoomScale="70" zoomScaleNormal="70" workbookViewId="0">
      <selection activeCell="P164" sqref="P164"/>
    </sheetView>
  </sheetViews>
  <sheetFormatPr defaultRowHeight="15" x14ac:dyDescent="0.25"/>
  <cols>
    <col min="2" max="2" width="2.5703125" customWidth="1"/>
    <col min="3" max="3" width="42.140625" customWidth="1"/>
    <col min="4" max="4" width="15" customWidth="1"/>
    <col min="5" max="5" width="12.42578125" customWidth="1"/>
    <col min="6" max="6" width="12.5703125" customWidth="1"/>
    <col min="7" max="7" width="12.140625" customWidth="1"/>
    <col min="8" max="8" width="17.5703125" customWidth="1"/>
    <col min="9" max="9" width="13.42578125" customWidth="1"/>
    <col min="10" max="10" width="2.28515625" customWidth="1"/>
    <col min="12" max="12" width="15.5703125" customWidth="1"/>
    <col min="13" max="13" width="14.140625" customWidth="1"/>
    <col min="15" max="15" width="57.140625" customWidth="1"/>
    <col min="16" max="16" width="17.5703125" customWidth="1"/>
    <col min="17" max="18" width="11.140625" customWidth="1"/>
  </cols>
  <sheetData>
    <row r="2" spans="2:10" x14ac:dyDescent="0.25">
      <c r="B2" s="256"/>
      <c r="C2" s="257"/>
      <c r="D2" s="257"/>
      <c r="E2" s="257"/>
      <c r="F2" s="257"/>
      <c r="G2" s="257"/>
      <c r="H2" s="257"/>
      <c r="I2" s="257"/>
      <c r="J2" s="258"/>
    </row>
    <row r="3" spans="2:10" x14ac:dyDescent="0.25">
      <c r="B3" s="272"/>
      <c r="C3" s="271" t="s">
        <v>154</v>
      </c>
      <c r="D3" s="271"/>
      <c r="E3" s="271"/>
      <c r="F3" s="271"/>
      <c r="G3" s="271"/>
      <c r="H3" s="271"/>
      <c r="I3" s="271"/>
      <c r="J3" s="274"/>
    </row>
    <row r="4" spans="2:10" x14ac:dyDescent="0.25">
      <c r="B4" s="272"/>
      <c r="C4" s="154"/>
      <c r="D4" s="264"/>
      <c r="E4" s="264"/>
      <c r="F4" s="264"/>
      <c r="G4" s="264"/>
      <c r="H4" s="264"/>
      <c r="I4" s="264"/>
      <c r="J4" s="274"/>
    </row>
    <row r="5" spans="2:10" x14ac:dyDescent="0.25">
      <c r="B5" s="272"/>
      <c r="C5" s="144" t="s">
        <v>2</v>
      </c>
      <c r="D5" s="265" t="s">
        <v>42</v>
      </c>
      <c r="E5" s="266"/>
      <c r="F5" s="266"/>
      <c r="G5" s="266"/>
      <c r="H5" s="266"/>
      <c r="I5" s="267"/>
      <c r="J5" s="274"/>
    </row>
    <row r="6" spans="2:10" ht="32.25" customHeight="1" x14ac:dyDescent="0.25">
      <c r="B6" s="272"/>
      <c r="C6" s="155" t="str">
        <f>ORÇAMENTO!B5</f>
        <v>PREFEITURA MUNICIPAL DE SÃO JOÃO DA LAGOA</v>
      </c>
      <c r="D6" s="268" t="str">
        <f>ORÇAMENTO!E5</f>
        <v>PAVIMENTAÇÃO ASFÁLTICA EM CBUQ EM VIAS URBANAS DO DISTRITO DE SÃO ROBERTO DE MINAS, MUNICÍPIO DE SÃO JOÃO DA LAGOA - MG</v>
      </c>
      <c r="E6" s="269"/>
      <c r="F6" s="269"/>
      <c r="G6" s="269"/>
      <c r="H6" s="269"/>
      <c r="I6" s="270"/>
      <c r="J6" s="274"/>
    </row>
    <row r="7" spans="2:10" x14ac:dyDescent="0.25">
      <c r="B7" s="272"/>
      <c r="C7" s="156"/>
      <c r="D7" s="156"/>
      <c r="E7" s="157"/>
      <c r="F7" s="157"/>
      <c r="G7" s="156"/>
      <c r="H7" s="156"/>
      <c r="I7" s="156"/>
      <c r="J7" s="274"/>
    </row>
    <row r="8" spans="2:10" ht="15" customHeight="1" x14ac:dyDescent="0.25">
      <c r="B8" s="272"/>
      <c r="C8" s="158" t="s">
        <v>42</v>
      </c>
      <c r="D8" s="259" t="s">
        <v>87</v>
      </c>
      <c r="E8" s="260"/>
      <c r="F8" s="259" t="s">
        <v>45</v>
      </c>
      <c r="G8" s="263"/>
      <c r="H8" s="159" t="s">
        <v>59</v>
      </c>
      <c r="I8" s="160" t="s">
        <v>88</v>
      </c>
      <c r="J8" s="274"/>
    </row>
    <row r="9" spans="2:10" ht="37.5" customHeight="1" x14ac:dyDescent="0.25">
      <c r="B9" s="272"/>
      <c r="C9" s="161" t="str">
        <f>D6</f>
        <v>PAVIMENTAÇÃO ASFÁLTICA EM CBUQ EM VIAS URBANAS DO DISTRITO DE SÃO ROBERTO DE MINAS, MUNICÍPIO DE SÃO JOÃO DA LAGOA - MG</v>
      </c>
      <c r="D9" s="261" t="s">
        <v>152</v>
      </c>
      <c r="E9" s="262"/>
      <c r="F9" s="261" t="s">
        <v>153</v>
      </c>
      <c r="G9" s="276"/>
      <c r="H9" s="162" t="s">
        <v>58</v>
      </c>
      <c r="I9" s="163" t="str">
        <f>BDI!J29</f>
        <v>BDI PAD</v>
      </c>
      <c r="J9" s="274"/>
    </row>
    <row r="10" spans="2:10" ht="12.75" customHeight="1" x14ac:dyDescent="0.25">
      <c r="B10" s="272"/>
      <c r="C10" s="277"/>
      <c r="D10" s="277"/>
      <c r="E10" s="277"/>
      <c r="F10" s="277"/>
      <c r="G10" s="277"/>
      <c r="H10" s="277"/>
      <c r="I10" s="277"/>
      <c r="J10" s="274"/>
    </row>
    <row r="11" spans="2:10" x14ac:dyDescent="0.25">
      <c r="B11" s="272"/>
      <c r="C11" s="284" t="s">
        <v>103</v>
      </c>
      <c r="D11" s="284"/>
      <c r="E11" s="284"/>
      <c r="F11" s="284"/>
      <c r="G11" s="284"/>
      <c r="H11" s="284"/>
      <c r="I11" s="284"/>
      <c r="J11" s="274"/>
    </row>
    <row r="12" spans="2:10" ht="24" x14ac:dyDescent="0.25">
      <c r="B12" s="272"/>
      <c r="C12" s="285" t="s">
        <v>104</v>
      </c>
      <c r="D12" s="285"/>
      <c r="E12" s="285"/>
      <c r="F12" s="131" t="s">
        <v>105</v>
      </c>
      <c r="G12" s="131" t="s">
        <v>106</v>
      </c>
      <c r="H12" s="131" t="s">
        <v>107</v>
      </c>
      <c r="I12" s="131" t="s">
        <v>108</v>
      </c>
      <c r="J12" s="274"/>
    </row>
    <row r="13" spans="2:10" ht="24" x14ac:dyDescent="0.25">
      <c r="B13" s="272"/>
      <c r="C13" s="286" t="s">
        <v>109</v>
      </c>
      <c r="D13" s="286"/>
      <c r="E13" s="286"/>
      <c r="F13" s="132" t="s">
        <v>150</v>
      </c>
      <c r="G13" s="133" t="s">
        <v>110</v>
      </c>
      <c r="H13" s="133" t="s">
        <v>148</v>
      </c>
      <c r="I13" s="134">
        <v>46107</v>
      </c>
      <c r="J13" s="274"/>
    </row>
    <row r="14" spans="2:10" x14ac:dyDescent="0.25">
      <c r="B14" s="272"/>
      <c r="C14" s="287"/>
      <c r="D14" s="287"/>
      <c r="E14" s="287"/>
      <c r="F14" s="287"/>
      <c r="G14" s="287"/>
      <c r="H14" s="287"/>
      <c r="I14" s="287"/>
      <c r="J14" s="274"/>
    </row>
    <row r="15" spans="2:10" x14ac:dyDescent="0.25">
      <c r="B15" s="272"/>
      <c r="C15" s="135" t="s">
        <v>111</v>
      </c>
      <c r="D15" s="136" t="s">
        <v>105</v>
      </c>
      <c r="E15" s="136" t="s">
        <v>112</v>
      </c>
      <c r="F15" s="136" t="s">
        <v>106</v>
      </c>
      <c r="G15" s="136" t="s">
        <v>113</v>
      </c>
      <c r="H15" s="136" t="s">
        <v>114</v>
      </c>
      <c r="I15" s="136" t="s">
        <v>115</v>
      </c>
      <c r="J15" s="274"/>
    </row>
    <row r="16" spans="2:10" ht="72" x14ac:dyDescent="0.25">
      <c r="B16" s="272"/>
      <c r="C16" s="137" t="s">
        <v>116</v>
      </c>
      <c r="D16" s="133">
        <v>91486</v>
      </c>
      <c r="E16" s="133" t="s">
        <v>89</v>
      </c>
      <c r="F16" s="136" t="s">
        <v>117</v>
      </c>
      <c r="G16" s="133">
        <v>5.1000000000000004E-3</v>
      </c>
      <c r="H16" s="146">
        <v>74.23</v>
      </c>
      <c r="I16" s="136">
        <f>ROUND(G16*H16,2)</f>
        <v>0.38</v>
      </c>
      <c r="J16" s="274"/>
    </row>
    <row r="17" spans="2:10" ht="72" x14ac:dyDescent="0.25">
      <c r="B17" s="272"/>
      <c r="C17" s="137" t="s">
        <v>118</v>
      </c>
      <c r="D17" s="133">
        <v>83362</v>
      </c>
      <c r="E17" s="133" t="s">
        <v>89</v>
      </c>
      <c r="F17" s="136" t="s">
        <v>119</v>
      </c>
      <c r="G17" s="133">
        <v>4.0000000000000002E-4</v>
      </c>
      <c r="H17" s="146">
        <v>270.68</v>
      </c>
      <c r="I17" s="136">
        <f t="shared" ref="I17:I21" si="0">ROUND(G17*H17,2)</f>
        <v>0.11</v>
      </c>
      <c r="J17" s="274"/>
    </row>
    <row r="18" spans="2:10" ht="36" x14ac:dyDescent="0.25">
      <c r="B18" s="272"/>
      <c r="C18" s="137" t="s">
        <v>120</v>
      </c>
      <c r="D18" s="133">
        <v>89036</v>
      </c>
      <c r="E18" s="133" t="s">
        <v>89</v>
      </c>
      <c r="F18" s="136" t="s">
        <v>117</v>
      </c>
      <c r="G18" s="133">
        <v>3.8E-3</v>
      </c>
      <c r="H18" s="146">
        <v>58.01</v>
      </c>
      <c r="I18" s="136">
        <f t="shared" si="0"/>
        <v>0.22</v>
      </c>
      <c r="J18" s="274"/>
    </row>
    <row r="19" spans="2:10" ht="36" x14ac:dyDescent="0.25">
      <c r="B19" s="272"/>
      <c r="C19" s="137" t="s">
        <v>121</v>
      </c>
      <c r="D19" s="133">
        <v>89035</v>
      </c>
      <c r="E19" s="133" t="s">
        <v>89</v>
      </c>
      <c r="F19" s="136" t="s">
        <v>119</v>
      </c>
      <c r="G19" s="133">
        <v>1.6999999999999999E-3</v>
      </c>
      <c r="H19" s="146">
        <v>141.87</v>
      </c>
      <c r="I19" s="136">
        <f t="shared" si="0"/>
        <v>0.24</v>
      </c>
      <c r="J19" s="274"/>
    </row>
    <row r="20" spans="2:10" ht="48" x14ac:dyDescent="0.25">
      <c r="B20" s="272"/>
      <c r="C20" s="137" t="s">
        <v>122</v>
      </c>
      <c r="D20" s="133">
        <v>5841</v>
      </c>
      <c r="E20" s="133" t="s">
        <v>89</v>
      </c>
      <c r="F20" s="136" t="s">
        <v>117</v>
      </c>
      <c r="G20" s="133">
        <v>4.0000000000000001E-3</v>
      </c>
      <c r="H20" s="146">
        <v>4.68</v>
      </c>
      <c r="I20" s="136">
        <f t="shared" si="0"/>
        <v>0.02</v>
      </c>
      <c r="J20" s="274"/>
    </row>
    <row r="21" spans="2:10" ht="48" x14ac:dyDescent="0.25">
      <c r="B21" s="272"/>
      <c r="C21" s="137" t="s">
        <v>123</v>
      </c>
      <c r="D21" s="133">
        <v>5839</v>
      </c>
      <c r="E21" s="133" t="s">
        <v>89</v>
      </c>
      <c r="F21" s="136" t="s">
        <v>119</v>
      </c>
      <c r="G21" s="133">
        <v>2E-3</v>
      </c>
      <c r="H21" s="146">
        <v>9.31</v>
      </c>
      <c r="I21" s="136">
        <f t="shared" si="0"/>
        <v>0.02</v>
      </c>
      <c r="J21" s="274"/>
    </row>
    <row r="22" spans="2:10" x14ac:dyDescent="0.25">
      <c r="B22" s="272"/>
      <c r="C22" s="280" t="s">
        <v>124</v>
      </c>
      <c r="D22" s="280"/>
      <c r="E22" s="280"/>
      <c r="F22" s="280"/>
      <c r="G22" s="280"/>
      <c r="H22" s="280"/>
      <c r="I22" s="139">
        <f>SUM(I16:I21)</f>
        <v>0.99</v>
      </c>
      <c r="J22" s="274"/>
    </row>
    <row r="23" spans="2:10" x14ac:dyDescent="0.25">
      <c r="B23" s="272"/>
      <c r="C23" s="135" t="s">
        <v>125</v>
      </c>
      <c r="D23" s="136" t="s">
        <v>105</v>
      </c>
      <c r="E23" s="136" t="s">
        <v>112</v>
      </c>
      <c r="F23" s="136" t="s">
        <v>106</v>
      </c>
      <c r="G23" s="136" t="s">
        <v>113</v>
      </c>
      <c r="H23" s="136" t="s">
        <v>114</v>
      </c>
      <c r="I23" s="136" t="s">
        <v>115</v>
      </c>
      <c r="J23" s="274"/>
    </row>
    <row r="24" spans="2:10" ht="24" x14ac:dyDescent="0.25">
      <c r="B24" s="272"/>
      <c r="C24" s="137" t="s">
        <v>126</v>
      </c>
      <c r="D24" s="133">
        <v>88316</v>
      </c>
      <c r="E24" s="133" t="s">
        <v>89</v>
      </c>
      <c r="F24" s="136" t="s">
        <v>127</v>
      </c>
      <c r="G24" s="133">
        <v>5.4999999999999997E-3</v>
      </c>
      <c r="H24" s="136">
        <v>22.64</v>
      </c>
      <c r="I24" s="136">
        <f>ROUND(G24*H24,2)</f>
        <v>0.12</v>
      </c>
      <c r="J24" s="274"/>
    </row>
    <row r="25" spans="2:10" x14ac:dyDescent="0.25">
      <c r="B25" s="272"/>
      <c r="C25" s="280" t="s">
        <v>128</v>
      </c>
      <c r="D25" s="280"/>
      <c r="E25" s="280"/>
      <c r="F25" s="280"/>
      <c r="G25" s="280"/>
      <c r="H25" s="280"/>
      <c r="I25" s="140">
        <f>SUM(I24)</f>
        <v>0.12</v>
      </c>
      <c r="J25" s="274"/>
    </row>
    <row r="26" spans="2:10" x14ac:dyDescent="0.25">
      <c r="B26" s="272"/>
      <c r="C26" s="138" t="s">
        <v>129</v>
      </c>
      <c r="D26" s="288">
        <v>1</v>
      </c>
      <c r="E26" s="288"/>
      <c r="F26" s="280" t="s">
        <v>130</v>
      </c>
      <c r="G26" s="280"/>
      <c r="H26" s="280"/>
      <c r="I26" s="138">
        <f>SUM(I25+I22)</f>
        <v>1.1099999999999999</v>
      </c>
      <c r="J26" s="274"/>
    </row>
    <row r="27" spans="2:10" x14ac:dyDescent="0.25">
      <c r="B27" s="272"/>
      <c r="C27" s="280" t="s">
        <v>131</v>
      </c>
      <c r="D27" s="280"/>
      <c r="E27" s="280"/>
      <c r="F27" s="280" t="s">
        <v>132</v>
      </c>
      <c r="G27" s="280"/>
      <c r="H27" s="280"/>
      <c r="I27" s="138">
        <f>I26/D26</f>
        <v>1.1099999999999999</v>
      </c>
      <c r="J27" s="274"/>
    </row>
    <row r="28" spans="2:10" x14ac:dyDescent="0.25">
      <c r="B28" s="272"/>
      <c r="C28" s="135" t="s">
        <v>133</v>
      </c>
      <c r="D28" s="136" t="s">
        <v>105</v>
      </c>
      <c r="E28" s="136" t="s">
        <v>112</v>
      </c>
      <c r="F28" s="136" t="s">
        <v>106</v>
      </c>
      <c r="G28" s="136" t="s">
        <v>113</v>
      </c>
      <c r="H28" s="136" t="s">
        <v>114</v>
      </c>
      <c r="I28" s="136" t="s">
        <v>115</v>
      </c>
      <c r="J28" s="274"/>
    </row>
    <row r="29" spans="2:10" x14ac:dyDescent="0.25">
      <c r="B29" s="272"/>
      <c r="C29" s="137" t="s">
        <v>134</v>
      </c>
      <c r="D29" s="133" t="s">
        <v>135</v>
      </c>
      <c r="E29" s="133" t="s">
        <v>136</v>
      </c>
      <c r="F29" s="136" t="s">
        <v>137</v>
      </c>
      <c r="G29" s="133">
        <v>0.45</v>
      </c>
      <c r="H29" s="136">
        <v>2.65</v>
      </c>
      <c r="I29" s="136">
        <f t="shared" ref="I29" si="1">ROUND(G29*H29,2)</f>
        <v>1.19</v>
      </c>
      <c r="J29" s="274"/>
    </row>
    <row r="30" spans="2:10" x14ac:dyDescent="0.25">
      <c r="B30" s="272"/>
      <c r="C30" s="280" t="s">
        <v>138</v>
      </c>
      <c r="D30" s="280"/>
      <c r="E30" s="280"/>
      <c r="F30" s="280"/>
      <c r="G30" s="280"/>
      <c r="H30" s="280"/>
      <c r="I30" s="140">
        <f>SUM(I29:I29)</f>
        <v>1.19</v>
      </c>
      <c r="J30" s="274"/>
    </row>
    <row r="31" spans="2:10" x14ac:dyDescent="0.25">
      <c r="B31" s="272"/>
      <c r="C31" s="135" t="s">
        <v>139</v>
      </c>
      <c r="D31" s="136" t="s">
        <v>105</v>
      </c>
      <c r="E31" s="136" t="s">
        <v>112</v>
      </c>
      <c r="F31" s="136" t="s">
        <v>106</v>
      </c>
      <c r="G31" s="136" t="s">
        <v>113</v>
      </c>
      <c r="H31" s="136" t="s">
        <v>114</v>
      </c>
      <c r="I31" s="136" t="s">
        <v>115</v>
      </c>
      <c r="J31" s="274"/>
    </row>
    <row r="32" spans="2:10" ht="15" customHeight="1" x14ac:dyDescent="0.25">
      <c r="B32" s="272"/>
      <c r="C32" s="141"/>
      <c r="D32" s="142"/>
      <c r="E32" s="142"/>
      <c r="F32" s="141"/>
      <c r="G32" s="142"/>
      <c r="H32" s="141"/>
      <c r="I32" s="141"/>
      <c r="J32" s="274"/>
    </row>
    <row r="33" spans="2:10" x14ac:dyDescent="0.25">
      <c r="B33" s="272"/>
      <c r="C33" s="280" t="s">
        <v>140</v>
      </c>
      <c r="D33" s="280"/>
      <c r="E33" s="280"/>
      <c r="F33" s="280"/>
      <c r="G33" s="280"/>
      <c r="H33" s="280"/>
      <c r="I33" s="138">
        <v>0</v>
      </c>
      <c r="J33" s="274"/>
    </row>
    <row r="34" spans="2:10" x14ac:dyDescent="0.25">
      <c r="B34" s="272"/>
      <c r="C34" s="280" t="s">
        <v>141</v>
      </c>
      <c r="D34" s="280"/>
      <c r="E34" s="280"/>
      <c r="F34" s="280"/>
      <c r="G34" s="280"/>
      <c r="H34" s="135" t="s">
        <v>110</v>
      </c>
      <c r="I34" s="143">
        <f>I33+I30+I27</f>
        <v>2.2999999999999998</v>
      </c>
      <c r="J34" s="274"/>
    </row>
    <row r="35" spans="2:10" x14ac:dyDescent="0.25">
      <c r="B35" s="272"/>
      <c r="C35" s="280" t="s">
        <v>142</v>
      </c>
      <c r="D35" s="280"/>
      <c r="E35" s="280"/>
      <c r="F35" s="280"/>
      <c r="G35" s="280"/>
      <c r="H35" s="280"/>
      <c r="I35" s="142"/>
      <c r="J35" s="274"/>
    </row>
    <row r="36" spans="2:10" x14ac:dyDescent="0.25">
      <c r="B36" s="272"/>
      <c r="C36" s="280" t="s">
        <v>143</v>
      </c>
      <c r="D36" s="280"/>
      <c r="E36" s="280"/>
      <c r="F36" s="280"/>
      <c r="G36" s="280"/>
      <c r="H36" s="280"/>
      <c r="I36" s="143">
        <f>I34</f>
        <v>2.2999999999999998</v>
      </c>
      <c r="J36" s="274"/>
    </row>
    <row r="37" spans="2:10" x14ac:dyDescent="0.25">
      <c r="B37" s="272"/>
      <c r="C37" s="281" t="s">
        <v>144</v>
      </c>
      <c r="D37" s="282"/>
      <c r="E37" s="282"/>
      <c r="F37" s="282"/>
      <c r="G37" s="282"/>
      <c r="H37" s="282"/>
      <c r="I37" s="283"/>
      <c r="J37" s="274"/>
    </row>
    <row r="38" spans="2:10" ht="54.75" customHeight="1" x14ac:dyDescent="0.25">
      <c r="B38" s="272"/>
      <c r="C38" s="289" t="s">
        <v>151</v>
      </c>
      <c r="D38" s="289"/>
      <c r="E38" s="289"/>
      <c r="F38" s="289"/>
      <c r="G38" s="289"/>
      <c r="H38" s="289"/>
      <c r="I38" s="289"/>
      <c r="J38" s="274"/>
    </row>
    <row r="39" spans="2:10" x14ac:dyDescent="0.25">
      <c r="B39" s="272"/>
      <c r="C39" s="291" t="s">
        <v>145</v>
      </c>
      <c r="D39" s="292"/>
      <c r="E39" s="292"/>
      <c r="F39" s="292"/>
      <c r="G39" s="292"/>
      <c r="H39" s="292"/>
      <c r="I39" s="293"/>
      <c r="J39" s="274"/>
    </row>
    <row r="40" spans="2:10" x14ac:dyDescent="0.25">
      <c r="B40" s="272"/>
      <c r="C40" s="290" t="s">
        <v>176</v>
      </c>
      <c r="D40" s="290"/>
      <c r="E40" s="290"/>
      <c r="F40" s="290"/>
      <c r="G40" s="290"/>
      <c r="H40" s="290"/>
      <c r="I40" s="290"/>
      <c r="J40" s="274"/>
    </row>
    <row r="41" spans="2:10" x14ac:dyDescent="0.25">
      <c r="B41" s="272"/>
      <c r="C41" s="279"/>
      <c r="D41" s="279"/>
      <c r="E41" s="279"/>
      <c r="F41" s="279"/>
      <c r="G41" s="279"/>
      <c r="H41" s="279"/>
      <c r="I41" s="279"/>
      <c r="J41" s="274"/>
    </row>
    <row r="42" spans="2:10" ht="48" customHeight="1" x14ac:dyDescent="0.25">
      <c r="B42" s="272"/>
      <c r="C42" s="145"/>
      <c r="D42" s="145"/>
      <c r="E42" s="145"/>
      <c r="F42" s="145"/>
      <c r="G42" s="145"/>
      <c r="H42" s="145"/>
      <c r="I42" s="145"/>
      <c r="J42" s="274"/>
    </row>
    <row r="43" spans="2:10" x14ac:dyDescent="0.25">
      <c r="B43" s="272"/>
      <c r="C43" s="145"/>
      <c r="D43" s="145"/>
      <c r="E43" s="145"/>
      <c r="F43" s="145"/>
      <c r="G43" s="145"/>
      <c r="H43" s="145"/>
      <c r="I43" s="145"/>
      <c r="J43" s="274"/>
    </row>
    <row r="44" spans="2:10" x14ac:dyDescent="0.25">
      <c r="B44" s="272"/>
      <c r="C44" s="145"/>
      <c r="D44" s="145"/>
      <c r="E44" s="145"/>
      <c r="F44" s="145"/>
      <c r="G44" s="145"/>
      <c r="H44" s="145"/>
      <c r="I44" s="145"/>
      <c r="J44" s="274"/>
    </row>
    <row r="45" spans="2:10" x14ac:dyDescent="0.25">
      <c r="B45" s="272"/>
      <c r="C45" s="145"/>
      <c r="D45" s="145"/>
      <c r="E45" s="145"/>
      <c r="F45" s="145"/>
      <c r="G45" s="145"/>
      <c r="H45" s="145"/>
      <c r="I45" s="145"/>
      <c r="J45" s="274"/>
    </row>
    <row r="46" spans="2:10" x14ac:dyDescent="0.25">
      <c r="B46" s="272"/>
      <c r="C46" s="145"/>
      <c r="D46" s="145"/>
      <c r="E46" s="145"/>
      <c r="F46" s="145"/>
      <c r="G46" s="145"/>
      <c r="H46" s="145"/>
      <c r="I46" s="145"/>
      <c r="J46" s="274"/>
    </row>
    <row r="47" spans="2:10" x14ac:dyDescent="0.25">
      <c r="B47" s="272"/>
      <c r="C47" s="145"/>
      <c r="D47" s="145"/>
      <c r="E47" s="145"/>
      <c r="F47" s="145"/>
      <c r="G47" s="145"/>
      <c r="H47" s="145"/>
      <c r="I47" s="145"/>
      <c r="J47" s="274"/>
    </row>
    <row r="48" spans="2:10" x14ac:dyDescent="0.25">
      <c r="B48" s="272"/>
      <c r="C48" s="145"/>
      <c r="D48" s="145"/>
      <c r="E48" s="145"/>
      <c r="F48" s="145"/>
      <c r="G48" s="145"/>
      <c r="H48" s="145"/>
      <c r="I48" s="145"/>
      <c r="J48" s="274"/>
    </row>
    <row r="49" spans="2:10" x14ac:dyDescent="0.25">
      <c r="B49" s="272"/>
      <c r="C49" s="145"/>
      <c r="D49" s="145"/>
      <c r="E49" s="145"/>
      <c r="F49" s="145"/>
      <c r="G49" s="145"/>
      <c r="H49" s="145"/>
      <c r="I49" s="145"/>
      <c r="J49" s="274"/>
    </row>
    <row r="50" spans="2:10" ht="7.5" customHeight="1" x14ac:dyDescent="0.25">
      <c r="B50" s="272"/>
      <c r="C50" s="145"/>
      <c r="D50" s="145"/>
      <c r="E50" s="145"/>
      <c r="F50" s="145"/>
      <c r="G50" s="145"/>
      <c r="H50" s="145"/>
      <c r="I50" s="145"/>
      <c r="J50" s="274"/>
    </row>
    <row r="51" spans="2:10" x14ac:dyDescent="0.25">
      <c r="B51" s="272"/>
      <c r="C51" s="145"/>
      <c r="D51" s="145"/>
      <c r="E51" s="145"/>
      <c r="F51" s="145"/>
      <c r="G51" s="145"/>
      <c r="H51" s="145"/>
      <c r="I51" s="145"/>
      <c r="J51" s="274"/>
    </row>
    <row r="52" spans="2:10" x14ac:dyDescent="0.25">
      <c r="B52" s="272"/>
      <c r="C52" s="145"/>
      <c r="D52" s="145"/>
      <c r="E52" s="145"/>
      <c r="F52" s="145"/>
      <c r="G52" s="145"/>
      <c r="H52" s="145"/>
      <c r="I52" s="145"/>
      <c r="J52" s="274"/>
    </row>
    <row r="53" spans="2:10" x14ac:dyDescent="0.25">
      <c r="B53" s="272"/>
      <c r="C53" s="145"/>
      <c r="D53" s="145"/>
      <c r="E53" s="145"/>
      <c r="F53" s="145"/>
      <c r="G53" s="145"/>
      <c r="H53" s="145"/>
      <c r="I53" s="145"/>
      <c r="J53" s="274"/>
    </row>
    <row r="54" spans="2:10" x14ac:dyDescent="0.25">
      <c r="B54" s="272"/>
      <c r="C54" s="145"/>
      <c r="D54" s="145"/>
      <c r="E54" s="145"/>
      <c r="F54" s="145"/>
      <c r="G54" s="145"/>
      <c r="H54" s="145"/>
      <c r="I54" s="145"/>
      <c r="J54" s="274"/>
    </row>
    <row r="55" spans="2:10" x14ac:dyDescent="0.25">
      <c r="B55" s="272"/>
      <c r="C55" s="145"/>
      <c r="D55" s="145"/>
      <c r="E55" s="145"/>
      <c r="F55" s="145"/>
      <c r="G55" s="145"/>
      <c r="H55" s="145"/>
      <c r="I55" s="145"/>
      <c r="J55" s="274"/>
    </row>
    <row r="56" spans="2:10" x14ac:dyDescent="0.25">
      <c r="B56" s="272"/>
      <c r="C56" s="145"/>
      <c r="D56" s="145"/>
      <c r="E56" s="145"/>
      <c r="F56" s="145"/>
      <c r="G56" s="145"/>
      <c r="H56" s="145"/>
      <c r="I56" s="145"/>
      <c r="J56" s="274"/>
    </row>
    <row r="57" spans="2:10" x14ac:dyDescent="0.25">
      <c r="B57" s="272"/>
      <c r="C57" s="145"/>
      <c r="D57" s="145"/>
      <c r="E57" s="145"/>
      <c r="F57" s="145"/>
      <c r="G57" s="145"/>
      <c r="H57" s="145"/>
      <c r="I57" s="145"/>
      <c r="J57" s="274"/>
    </row>
    <row r="58" spans="2:10" x14ac:dyDescent="0.25">
      <c r="B58" s="272"/>
      <c r="C58" s="145"/>
      <c r="D58" s="145"/>
      <c r="E58" s="145"/>
      <c r="F58" s="145"/>
      <c r="G58" s="145"/>
      <c r="H58" s="145"/>
      <c r="I58" s="145"/>
      <c r="J58" s="274"/>
    </row>
    <row r="59" spans="2:10" x14ac:dyDescent="0.25">
      <c r="B59" s="272"/>
      <c r="C59" s="145"/>
      <c r="D59" s="145"/>
      <c r="E59" s="145"/>
      <c r="F59" s="145"/>
      <c r="G59" s="145"/>
      <c r="H59" s="145"/>
      <c r="I59" s="145"/>
      <c r="J59" s="274"/>
    </row>
    <row r="60" spans="2:10" x14ac:dyDescent="0.25">
      <c r="B60" s="272"/>
      <c r="C60" s="145"/>
      <c r="D60" s="145"/>
      <c r="E60" s="145"/>
      <c r="F60" s="145"/>
      <c r="G60" s="145"/>
      <c r="H60" s="145"/>
      <c r="I60" s="145"/>
      <c r="J60" s="274"/>
    </row>
    <row r="61" spans="2:10" x14ac:dyDescent="0.25">
      <c r="B61" s="272"/>
      <c r="C61" s="145"/>
      <c r="D61" s="145"/>
      <c r="E61" s="145"/>
      <c r="F61" s="145"/>
      <c r="G61" s="145"/>
      <c r="H61" s="145"/>
      <c r="I61" s="145"/>
      <c r="J61" s="274"/>
    </row>
    <row r="62" spans="2:10" x14ac:dyDescent="0.25">
      <c r="B62" s="272"/>
      <c r="C62" s="145"/>
      <c r="D62" s="145"/>
      <c r="E62" s="145"/>
      <c r="F62" s="145"/>
      <c r="G62" s="145"/>
      <c r="H62" s="145"/>
      <c r="I62" s="145"/>
      <c r="J62" s="274"/>
    </row>
    <row r="63" spans="2:10" x14ac:dyDescent="0.25">
      <c r="B63" s="272"/>
      <c r="C63" s="145"/>
      <c r="D63" s="145"/>
      <c r="E63" s="145"/>
      <c r="F63" s="145"/>
      <c r="G63" s="145"/>
      <c r="H63" s="145"/>
      <c r="I63" s="145"/>
      <c r="J63" s="274"/>
    </row>
    <row r="64" spans="2:10" x14ac:dyDescent="0.25">
      <c r="B64" s="272"/>
      <c r="C64" s="145"/>
      <c r="D64" s="145"/>
      <c r="E64" s="145"/>
      <c r="F64" s="145"/>
      <c r="G64" s="145"/>
      <c r="H64" s="145"/>
      <c r="I64" s="145"/>
      <c r="J64" s="274"/>
    </row>
    <row r="65" spans="2:10" x14ac:dyDescent="0.25">
      <c r="B65" s="272"/>
      <c r="C65" s="145"/>
      <c r="D65" s="145"/>
      <c r="E65" s="145"/>
      <c r="F65" s="145"/>
      <c r="G65" s="145"/>
      <c r="H65" s="145"/>
      <c r="I65" s="145"/>
      <c r="J65" s="274"/>
    </row>
    <row r="66" spans="2:10" x14ac:dyDescent="0.25">
      <c r="B66" s="272"/>
      <c r="C66" s="145"/>
      <c r="D66" s="145"/>
      <c r="E66" s="145"/>
      <c r="F66" s="145"/>
      <c r="G66" s="145"/>
      <c r="H66" s="145"/>
      <c r="I66" s="145"/>
      <c r="J66" s="274"/>
    </row>
    <row r="67" spans="2:10" x14ac:dyDescent="0.25">
      <c r="B67" s="272"/>
      <c r="C67" s="145"/>
      <c r="D67" s="145"/>
      <c r="E67" s="145"/>
      <c r="F67" s="145"/>
      <c r="G67" s="145"/>
      <c r="H67" s="145"/>
      <c r="I67" s="145"/>
      <c r="J67" s="274"/>
    </row>
    <row r="68" spans="2:10" x14ac:dyDescent="0.25">
      <c r="B68" s="272"/>
      <c r="C68" s="145"/>
      <c r="D68" s="145"/>
      <c r="E68" s="145"/>
      <c r="F68" s="145"/>
      <c r="G68" s="145"/>
      <c r="H68" s="145"/>
      <c r="I68" s="145"/>
      <c r="J68" s="274"/>
    </row>
    <row r="69" spans="2:10" x14ac:dyDescent="0.25">
      <c r="B69" s="272"/>
      <c r="C69" s="145"/>
      <c r="D69" s="145"/>
      <c r="E69" s="145"/>
      <c r="F69" s="145"/>
      <c r="G69" s="145"/>
      <c r="H69" s="145"/>
      <c r="I69" s="145"/>
      <c r="J69" s="274"/>
    </row>
    <row r="70" spans="2:10" x14ac:dyDescent="0.25">
      <c r="B70" s="272"/>
      <c r="C70" s="145"/>
      <c r="D70" s="145"/>
      <c r="E70" s="145"/>
      <c r="F70" s="145"/>
      <c r="G70" s="145"/>
      <c r="H70" s="145"/>
      <c r="I70" s="145"/>
      <c r="J70" s="274"/>
    </row>
    <row r="71" spans="2:10" x14ac:dyDescent="0.25">
      <c r="B71" s="272"/>
      <c r="C71" s="145"/>
      <c r="D71" s="145"/>
      <c r="E71" s="145"/>
      <c r="F71" s="145"/>
      <c r="G71" s="145"/>
      <c r="H71" s="145"/>
      <c r="I71" s="145"/>
      <c r="J71" s="274"/>
    </row>
    <row r="72" spans="2:10" x14ac:dyDescent="0.25">
      <c r="B72" s="272"/>
      <c r="C72" s="145"/>
      <c r="D72" s="145"/>
      <c r="E72" s="145"/>
      <c r="F72" s="145"/>
      <c r="G72" s="145"/>
      <c r="H72" s="145"/>
      <c r="I72" s="145"/>
      <c r="J72" s="274"/>
    </row>
    <row r="73" spans="2:10" x14ac:dyDescent="0.25">
      <c r="B73" s="272"/>
      <c r="C73" s="145"/>
      <c r="D73" s="145"/>
      <c r="E73" s="145"/>
      <c r="F73" s="145"/>
      <c r="G73" s="145"/>
      <c r="H73" s="145"/>
      <c r="I73" s="145"/>
      <c r="J73" s="274"/>
    </row>
    <row r="74" spans="2:10" x14ac:dyDescent="0.25">
      <c r="B74" s="272"/>
      <c r="C74" s="145"/>
      <c r="D74" s="145"/>
      <c r="E74" s="145"/>
      <c r="F74" s="145"/>
      <c r="G74" s="145"/>
      <c r="H74" s="145"/>
      <c r="I74" s="145"/>
      <c r="J74" s="274"/>
    </row>
    <row r="75" spans="2:10" x14ac:dyDescent="0.25">
      <c r="B75" s="272"/>
      <c r="C75" s="145"/>
      <c r="D75" s="145"/>
      <c r="E75" s="145"/>
      <c r="F75" s="145"/>
      <c r="G75" s="145"/>
      <c r="H75" s="145"/>
      <c r="I75" s="145"/>
      <c r="J75" s="274"/>
    </row>
    <row r="76" spans="2:10" x14ac:dyDescent="0.25">
      <c r="B76" s="272"/>
      <c r="C76" s="145"/>
      <c r="D76" s="145"/>
      <c r="E76" s="145"/>
      <c r="F76" s="145"/>
      <c r="G76" s="145"/>
      <c r="H76" s="145"/>
      <c r="I76" s="145"/>
      <c r="J76" s="274"/>
    </row>
    <row r="77" spans="2:10" x14ac:dyDescent="0.25">
      <c r="B77" s="272"/>
      <c r="C77" s="145"/>
      <c r="D77" s="145"/>
      <c r="E77" s="145"/>
      <c r="F77" s="145"/>
      <c r="G77" s="145"/>
      <c r="H77" s="145"/>
      <c r="I77" s="145"/>
      <c r="J77" s="274"/>
    </row>
    <row r="78" spans="2:10" x14ac:dyDescent="0.25">
      <c r="B78" s="272"/>
      <c r="C78" s="145"/>
      <c r="D78" s="145"/>
      <c r="E78" s="145"/>
      <c r="F78" s="145"/>
      <c r="G78" s="145"/>
      <c r="H78" s="145"/>
      <c r="I78" s="145"/>
      <c r="J78" s="274"/>
    </row>
    <row r="79" spans="2:10" x14ac:dyDescent="0.25">
      <c r="B79" s="272"/>
      <c r="C79" s="145"/>
      <c r="D79" s="145"/>
      <c r="E79" s="145"/>
      <c r="F79" s="145"/>
      <c r="G79" s="145"/>
      <c r="H79" s="145"/>
      <c r="I79" s="145"/>
      <c r="J79" s="274"/>
    </row>
    <row r="80" spans="2:10" x14ac:dyDescent="0.25">
      <c r="B80" s="272"/>
      <c r="C80" s="145"/>
      <c r="D80" s="145"/>
      <c r="E80" s="145"/>
      <c r="F80" s="145"/>
      <c r="G80" s="145"/>
      <c r="H80" s="145"/>
      <c r="I80" s="145"/>
      <c r="J80" s="274"/>
    </row>
    <row r="81" spans="2:10" x14ac:dyDescent="0.25">
      <c r="B81" s="272"/>
      <c r="C81" s="145"/>
      <c r="D81" s="145"/>
      <c r="E81" s="145"/>
      <c r="F81" s="145"/>
      <c r="G81" s="145"/>
      <c r="H81" s="145"/>
      <c r="I81" s="145"/>
      <c r="J81" s="274"/>
    </row>
    <row r="82" spans="2:10" x14ac:dyDescent="0.25">
      <c r="B82" s="272"/>
      <c r="C82" s="145"/>
      <c r="D82" s="145"/>
      <c r="E82" s="145"/>
      <c r="F82" s="145"/>
      <c r="G82" s="145"/>
      <c r="H82" s="145"/>
      <c r="I82" s="145"/>
      <c r="J82" s="274"/>
    </row>
    <row r="83" spans="2:10" x14ac:dyDescent="0.25">
      <c r="B83" s="272"/>
      <c r="C83" s="145"/>
      <c r="D83" s="145"/>
      <c r="E83" s="145"/>
      <c r="F83" s="145"/>
      <c r="G83" s="145"/>
      <c r="H83" s="145"/>
      <c r="I83" s="145"/>
      <c r="J83" s="274"/>
    </row>
    <row r="84" spans="2:10" x14ac:dyDescent="0.25">
      <c r="B84" s="272"/>
      <c r="C84" s="145"/>
      <c r="D84" s="145"/>
      <c r="E84" s="145"/>
      <c r="F84" s="145"/>
      <c r="G84" s="145"/>
      <c r="H84" s="145"/>
      <c r="I84" s="145"/>
      <c r="J84" s="274"/>
    </row>
    <row r="85" spans="2:10" x14ac:dyDescent="0.25">
      <c r="B85" s="272"/>
      <c r="C85" s="145"/>
      <c r="D85" s="145"/>
      <c r="E85" s="145"/>
      <c r="F85" s="145"/>
      <c r="G85" s="145"/>
      <c r="H85" s="145"/>
      <c r="I85" s="145"/>
      <c r="J85" s="274"/>
    </row>
    <row r="86" spans="2:10" x14ac:dyDescent="0.25">
      <c r="B86" s="272"/>
      <c r="C86" s="145"/>
      <c r="D86" s="145"/>
      <c r="E86" s="145"/>
      <c r="F86" s="145"/>
      <c r="G86" s="145"/>
      <c r="H86" s="145"/>
      <c r="I86" s="145"/>
      <c r="J86" s="274"/>
    </row>
    <row r="87" spans="2:10" x14ac:dyDescent="0.25">
      <c r="B87" s="272"/>
      <c r="C87" s="145"/>
      <c r="D87" s="145"/>
      <c r="E87" s="145"/>
      <c r="F87" s="145"/>
      <c r="G87" s="145"/>
      <c r="H87" s="145"/>
      <c r="I87" s="145"/>
      <c r="J87" s="274"/>
    </row>
    <row r="88" spans="2:10" x14ac:dyDescent="0.25">
      <c r="B88" s="272"/>
      <c r="C88" s="145"/>
      <c r="D88" s="145"/>
      <c r="E88" s="145"/>
      <c r="F88" s="145"/>
      <c r="G88" s="145"/>
      <c r="H88" s="145"/>
      <c r="I88" s="145"/>
      <c r="J88" s="274"/>
    </row>
    <row r="89" spans="2:10" x14ac:dyDescent="0.25">
      <c r="B89" s="272"/>
      <c r="C89" s="145"/>
      <c r="D89" s="145"/>
      <c r="E89" s="145"/>
      <c r="F89" s="145"/>
      <c r="G89" s="145"/>
      <c r="H89" s="145"/>
      <c r="I89" s="145"/>
      <c r="J89" s="274"/>
    </row>
    <row r="90" spans="2:10" x14ac:dyDescent="0.25">
      <c r="B90" s="272"/>
      <c r="C90" s="145"/>
      <c r="D90" s="145"/>
      <c r="E90" s="145"/>
      <c r="F90" s="145"/>
      <c r="G90" s="145"/>
      <c r="H90" s="145"/>
      <c r="I90" s="145"/>
      <c r="J90" s="274"/>
    </row>
    <row r="91" spans="2:10" x14ac:dyDescent="0.25">
      <c r="B91" s="272"/>
      <c r="C91" s="145"/>
      <c r="D91" s="145"/>
      <c r="E91" s="145"/>
      <c r="F91" s="145"/>
      <c r="G91" s="145"/>
      <c r="H91" s="145"/>
      <c r="I91" s="145"/>
      <c r="J91" s="274"/>
    </row>
    <row r="92" spans="2:10" x14ac:dyDescent="0.25">
      <c r="B92" s="272"/>
      <c r="C92" s="145"/>
      <c r="D92" s="145"/>
      <c r="E92" s="145"/>
      <c r="F92" s="145"/>
      <c r="G92" s="145"/>
      <c r="H92" s="145"/>
      <c r="I92" s="145"/>
      <c r="J92" s="274"/>
    </row>
    <row r="93" spans="2:10" x14ac:dyDescent="0.25">
      <c r="B93" s="272"/>
      <c r="C93" s="145"/>
      <c r="D93" s="145"/>
      <c r="E93" s="145"/>
      <c r="F93" s="145"/>
      <c r="G93" s="145"/>
      <c r="H93" s="145"/>
      <c r="I93" s="145"/>
      <c r="J93" s="274"/>
    </row>
    <row r="94" spans="2:10" x14ac:dyDescent="0.25">
      <c r="B94" s="272"/>
      <c r="C94" s="145"/>
      <c r="D94" s="145"/>
      <c r="E94" s="145"/>
      <c r="F94" s="145"/>
      <c r="G94" s="145"/>
      <c r="H94" s="145"/>
      <c r="I94" s="145"/>
      <c r="J94" s="274"/>
    </row>
    <row r="95" spans="2:10" x14ac:dyDescent="0.25">
      <c r="B95" s="272"/>
      <c r="C95" s="145"/>
      <c r="D95" s="145"/>
      <c r="E95" s="145"/>
      <c r="F95" s="145"/>
      <c r="G95" s="145"/>
      <c r="H95" s="145"/>
      <c r="I95" s="145"/>
      <c r="J95" s="274"/>
    </row>
    <row r="96" spans="2:10" x14ac:dyDescent="0.25">
      <c r="B96" s="272"/>
      <c r="C96" s="145"/>
      <c r="D96" s="145"/>
      <c r="E96" s="145"/>
      <c r="F96" s="145"/>
      <c r="G96" s="145"/>
      <c r="H96" s="145"/>
      <c r="I96" s="145"/>
      <c r="J96" s="274"/>
    </row>
    <row r="97" spans="2:10" x14ac:dyDescent="0.25">
      <c r="B97" s="272"/>
      <c r="C97" s="145"/>
      <c r="D97" s="145"/>
      <c r="E97" s="145"/>
      <c r="F97" s="145"/>
      <c r="G97" s="145"/>
      <c r="H97" s="145"/>
      <c r="I97" s="145"/>
      <c r="J97" s="274"/>
    </row>
    <row r="98" spans="2:10" x14ac:dyDescent="0.25">
      <c r="B98" s="272"/>
      <c r="C98" s="145"/>
      <c r="D98" s="145"/>
      <c r="E98" s="145"/>
      <c r="F98" s="145"/>
      <c r="G98" s="145"/>
      <c r="H98" s="145"/>
      <c r="I98" s="145"/>
      <c r="J98" s="274"/>
    </row>
    <row r="99" spans="2:10" x14ac:dyDescent="0.25">
      <c r="B99" s="272"/>
      <c r="C99" s="145"/>
      <c r="D99" s="145"/>
      <c r="E99" s="145"/>
      <c r="F99" s="145"/>
      <c r="G99" s="145"/>
      <c r="H99" s="145"/>
      <c r="I99" s="145"/>
      <c r="J99" s="274"/>
    </row>
    <row r="100" spans="2:10" x14ac:dyDescent="0.25">
      <c r="B100" s="272"/>
      <c r="C100" s="145"/>
      <c r="D100" s="145"/>
      <c r="E100" s="145"/>
      <c r="F100" s="145"/>
      <c r="G100" s="145"/>
      <c r="H100" s="145"/>
      <c r="I100" s="145"/>
      <c r="J100" s="274"/>
    </row>
    <row r="101" spans="2:10" ht="14.25" customHeight="1" x14ac:dyDescent="0.25">
      <c r="B101" s="272"/>
      <c r="C101" s="145"/>
      <c r="D101" s="145"/>
      <c r="E101" s="145"/>
      <c r="F101" s="145"/>
      <c r="G101" s="145"/>
      <c r="H101" s="145"/>
      <c r="I101" s="145"/>
      <c r="J101" s="274"/>
    </row>
    <row r="102" spans="2:10" x14ac:dyDescent="0.25">
      <c r="B102" s="273"/>
      <c r="C102" s="278"/>
      <c r="D102" s="278"/>
      <c r="E102" s="278"/>
      <c r="F102" s="278"/>
      <c r="G102" s="278"/>
      <c r="H102" s="278"/>
      <c r="I102" s="278"/>
      <c r="J102" s="275"/>
    </row>
    <row r="103" spans="2:10" x14ac:dyDescent="0.25">
      <c r="B103" s="168"/>
      <c r="C103" s="169"/>
      <c r="D103" s="169"/>
      <c r="E103" s="169"/>
      <c r="F103" s="169"/>
      <c r="G103" s="169"/>
      <c r="H103" s="169"/>
      <c r="I103" s="169"/>
      <c r="J103" s="168"/>
    </row>
    <row r="104" spans="2:10" x14ac:dyDescent="0.25">
      <c r="B104" s="256"/>
      <c r="C104" s="257"/>
      <c r="D104" s="257"/>
      <c r="E104" s="257"/>
      <c r="F104" s="257"/>
      <c r="G104" s="257"/>
      <c r="H104" s="257"/>
      <c r="I104" s="257"/>
      <c r="J104" s="258"/>
    </row>
    <row r="105" spans="2:10" x14ac:dyDescent="0.25">
      <c r="B105" s="272"/>
      <c r="C105" s="284" t="s">
        <v>103</v>
      </c>
      <c r="D105" s="284"/>
      <c r="E105" s="284"/>
      <c r="F105" s="284"/>
      <c r="G105" s="284"/>
      <c r="H105" s="284"/>
      <c r="I105" s="284"/>
      <c r="J105" s="274"/>
    </row>
    <row r="106" spans="2:10" ht="24" x14ac:dyDescent="0.25">
      <c r="B106" s="272"/>
      <c r="C106" s="285" t="s">
        <v>104</v>
      </c>
      <c r="D106" s="285"/>
      <c r="E106" s="285"/>
      <c r="F106" s="131" t="s">
        <v>105</v>
      </c>
      <c r="G106" s="131" t="s">
        <v>106</v>
      </c>
      <c r="H106" s="131" t="s">
        <v>107</v>
      </c>
      <c r="I106" s="131" t="s">
        <v>108</v>
      </c>
      <c r="J106" s="274"/>
    </row>
    <row r="107" spans="2:10" ht="24" customHeight="1" x14ac:dyDescent="0.25">
      <c r="B107" s="272"/>
      <c r="C107" s="286" t="s">
        <v>171</v>
      </c>
      <c r="D107" s="286"/>
      <c r="E107" s="286"/>
      <c r="F107" s="132" t="s">
        <v>175</v>
      </c>
      <c r="G107" s="133" t="s">
        <v>110</v>
      </c>
      <c r="H107" s="133" t="s">
        <v>172</v>
      </c>
      <c r="I107" s="133" t="s">
        <v>173</v>
      </c>
      <c r="J107" s="274"/>
    </row>
    <row r="108" spans="2:10" x14ac:dyDescent="0.25">
      <c r="B108" s="272"/>
      <c r="C108" s="287"/>
      <c r="D108" s="287"/>
      <c r="E108" s="287"/>
      <c r="F108" s="287"/>
      <c r="G108" s="287"/>
      <c r="H108" s="287"/>
      <c r="I108" s="287"/>
      <c r="J108" s="274"/>
    </row>
    <row r="109" spans="2:10" x14ac:dyDescent="0.25">
      <c r="B109" s="272"/>
      <c r="C109" s="166" t="s">
        <v>111</v>
      </c>
      <c r="D109" s="167" t="s">
        <v>105</v>
      </c>
      <c r="E109" s="167" t="s">
        <v>112</v>
      </c>
      <c r="F109" s="167" t="s">
        <v>106</v>
      </c>
      <c r="G109" s="167" t="s">
        <v>113</v>
      </c>
      <c r="H109" s="167" t="s">
        <v>114</v>
      </c>
      <c r="I109" s="136" t="s">
        <v>115</v>
      </c>
      <c r="J109" s="274"/>
    </row>
    <row r="110" spans="2:10" ht="72" x14ac:dyDescent="0.25">
      <c r="B110" s="272"/>
      <c r="C110" s="137" t="s">
        <v>116</v>
      </c>
      <c r="D110" s="133">
        <v>91486</v>
      </c>
      <c r="E110" s="133" t="s">
        <v>89</v>
      </c>
      <c r="F110" s="136" t="s">
        <v>117</v>
      </c>
      <c r="G110" s="133">
        <v>4.8999999999999998E-3</v>
      </c>
      <c r="H110" s="146">
        <v>74.23</v>
      </c>
      <c r="I110" s="165">
        <f>ROUND(G110*H110,2)</f>
        <v>0.36</v>
      </c>
      <c r="J110" s="274"/>
    </row>
    <row r="111" spans="2:10" ht="72" x14ac:dyDescent="0.25">
      <c r="B111" s="272"/>
      <c r="C111" s="137" t="s">
        <v>118</v>
      </c>
      <c r="D111" s="133">
        <v>83362</v>
      </c>
      <c r="E111" s="133" t="s">
        <v>89</v>
      </c>
      <c r="F111" s="136" t="s">
        <v>119</v>
      </c>
      <c r="G111" s="133">
        <v>1E-3</v>
      </c>
      <c r="H111" s="146">
        <v>270.68</v>
      </c>
      <c r="I111" s="165">
        <f t="shared" ref="I111:I115" si="2">ROUND(G111*H111,2)</f>
        <v>0.27</v>
      </c>
      <c r="J111" s="274"/>
    </row>
    <row r="112" spans="2:10" ht="36" x14ac:dyDescent="0.25">
      <c r="B112" s="272"/>
      <c r="C112" s="137" t="s">
        <v>120</v>
      </c>
      <c r="D112" s="133">
        <v>89036</v>
      </c>
      <c r="E112" s="133" t="s">
        <v>89</v>
      </c>
      <c r="F112" s="136" t="s">
        <v>117</v>
      </c>
      <c r="G112" s="133">
        <v>4.1000000000000003E-3</v>
      </c>
      <c r="H112" s="146">
        <v>58.01</v>
      </c>
      <c r="I112" s="165">
        <f t="shared" si="2"/>
        <v>0.24</v>
      </c>
      <c r="J112" s="274"/>
    </row>
    <row r="113" spans="2:10" ht="36" x14ac:dyDescent="0.25">
      <c r="B113" s="272"/>
      <c r="C113" s="137" t="s">
        <v>121</v>
      </c>
      <c r="D113" s="133">
        <v>89035</v>
      </c>
      <c r="E113" s="133" t="s">
        <v>89</v>
      </c>
      <c r="F113" s="136" t="s">
        <v>119</v>
      </c>
      <c r="G113" s="133">
        <v>1.6999999999999999E-3</v>
      </c>
      <c r="H113" s="146">
        <v>141.87</v>
      </c>
      <c r="I113" s="165">
        <f t="shared" si="2"/>
        <v>0.24</v>
      </c>
      <c r="J113" s="274"/>
    </row>
    <row r="114" spans="2:10" ht="48" x14ac:dyDescent="0.25">
      <c r="B114" s="272"/>
      <c r="C114" s="137" t="s">
        <v>122</v>
      </c>
      <c r="D114" s="133">
        <v>5841</v>
      </c>
      <c r="E114" s="133" t="s">
        <v>89</v>
      </c>
      <c r="F114" s="136" t="s">
        <v>117</v>
      </c>
      <c r="G114" s="133">
        <v>4.0000000000000001E-3</v>
      </c>
      <c r="H114" s="146">
        <v>4.68</v>
      </c>
      <c r="I114" s="165">
        <f t="shared" si="2"/>
        <v>0.02</v>
      </c>
      <c r="J114" s="274"/>
    </row>
    <row r="115" spans="2:10" ht="48" x14ac:dyDescent="0.25">
      <c r="B115" s="272"/>
      <c r="C115" s="137" t="s">
        <v>123</v>
      </c>
      <c r="D115" s="133">
        <v>5839</v>
      </c>
      <c r="E115" s="133" t="s">
        <v>89</v>
      </c>
      <c r="F115" s="136" t="s">
        <v>119</v>
      </c>
      <c r="G115" s="133">
        <v>2E-3</v>
      </c>
      <c r="H115" s="146">
        <v>9.31</v>
      </c>
      <c r="I115" s="165">
        <f t="shared" si="2"/>
        <v>0.02</v>
      </c>
      <c r="J115" s="274"/>
    </row>
    <row r="116" spans="2:10" x14ac:dyDescent="0.25">
      <c r="B116" s="272"/>
      <c r="C116" s="280" t="s">
        <v>124</v>
      </c>
      <c r="D116" s="280"/>
      <c r="E116" s="280"/>
      <c r="F116" s="280"/>
      <c r="G116" s="280"/>
      <c r="H116" s="280"/>
      <c r="I116" s="139">
        <f>SUM(I110:I115)</f>
        <v>1.1499999999999999</v>
      </c>
      <c r="J116" s="274"/>
    </row>
    <row r="117" spans="2:10" x14ac:dyDescent="0.25">
      <c r="B117" s="272"/>
      <c r="C117" s="135" t="s">
        <v>125</v>
      </c>
      <c r="D117" s="136" t="s">
        <v>105</v>
      </c>
      <c r="E117" s="136" t="s">
        <v>112</v>
      </c>
      <c r="F117" s="136" t="s">
        <v>106</v>
      </c>
      <c r="G117" s="136" t="s">
        <v>113</v>
      </c>
      <c r="H117" s="136" t="s">
        <v>114</v>
      </c>
      <c r="I117" s="136" t="s">
        <v>115</v>
      </c>
      <c r="J117" s="274"/>
    </row>
    <row r="118" spans="2:10" ht="24" x14ac:dyDescent="0.25">
      <c r="B118" s="272"/>
      <c r="C118" s="137" t="s">
        <v>126</v>
      </c>
      <c r="D118" s="133">
        <v>88316</v>
      </c>
      <c r="E118" s="133" t="s">
        <v>89</v>
      </c>
      <c r="F118" s="136" t="s">
        <v>127</v>
      </c>
      <c r="G118" s="133">
        <v>5.7999999999999996E-3</v>
      </c>
      <c r="H118" s="136">
        <v>22.64</v>
      </c>
      <c r="I118" s="165">
        <f t="shared" ref="I118" si="3">ROUND(G118*H118,2)</f>
        <v>0.13</v>
      </c>
      <c r="J118" s="274"/>
    </row>
    <row r="119" spans="2:10" x14ac:dyDescent="0.25">
      <c r="B119" s="272"/>
      <c r="C119" s="280" t="s">
        <v>128</v>
      </c>
      <c r="D119" s="280"/>
      <c r="E119" s="280"/>
      <c r="F119" s="280"/>
      <c r="G119" s="280"/>
      <c r="H119" s="280"/>
      <c r="I119" s="139">
        <f>I118</f>
        <v>0.13</v>
      </c>
      <c r="J119" s="274"/>
    </row>
    <row r="120" spans="2:10" x14ac:dyDescent="0.25">
      <c r="B120" s="272"/>
      <c r="C120" s="138" t="s">
        <v>129</v>
      </c>
      <c r="D120" s="288">
        <v>1</v>
      </c>
      <c r="E120" s="288"/>
      <c r="F120" s="280" t="s">
        <v>130</v>
      </c>
      <c r="G120" s="280"/>
      <c r="H120" s="280"/>
      <c r="I120" s="143">
        <f>SUM(I116+I119)</f>
        <v>1.2799999999999998</v>
      </c>
      <c r="J120" s="274"/>
    </row>
    <row r="121" spans="2:10" x14ac:dyDescent="0.25">
      <c r="B121" s="272"/>
      <c r="C121" s="280" t="s">
        <v>131</v>
      </c>
      <c r="D121" s="280"/>
      <c r="E121" s="280"/>
      <c r="F121" s="280" t="s">
        <v>132</v>
      </c>
      <c r="G121" s="280"/>
      <c r="H121" s="280"/>
      <c r="I121" s="138">
        <f>I120/D120</f>
        <v>1.2799999999999998</v>
      </c>
      <c r="J121" s="274"/>
    </row>
    <row r="122" spans="2:10" x14ac:dyDescent="0.25">
      <c r="B122" s="272"/>
      <c r="C122" s="135" t="s">
        <v>133</v>
      </c>
      <c r="D122" s="136" t="s">
        <v>105</v>
      </c>
      <c r="E122" s="136" t="s">
        <v>112</v>
      </c>
      <c r="F122" s="136" t="s">
        <v>106</v>
      </c>
      <c r="G122" s="136" t="s">
        <v>113</v>
      </c>
      <c r="H122" s="136" t="s">
        <v>114</v>
      </c>
      <c r="I122" s="136" t="s">
        <v>115</v>
      </c>
      <c r="J122" s="274"/>
    </row>
    <row r="123" spans="2:10" ht="24" x14ac:dyDescent="0.25">
      <c r="B123" s="272"/>
      <c r="C123" s="137" t="s">
        <v>174</v>
      </c>
      <c r="D123" s="133" t="s">
        <v>135</v>
      </c>
      <c r="E123" s="133" t="s">
        <v>136</v>
      </c>
      <c r="F123" s="136" t="s">
        <v>137</v>
      </c>
      <c r="G123" s="133">
        <v>1.2</v>
      </c>
      <c r="H123" s="136">
        <v>2.2400000000000002</v>
      </c>
      <c r="I123" s="165">
        <f t="shared" ref="I123" si="4">ROUND(G123*H123,2)</f>
        <v>2.69</v>
      </c>
      <c r="J123" s="274"/>
    </row>
    <row r="124" spans="2:10" x14ac:dyDescent="0.25">
      <c r="B124" s="272"/>
      <c r="C124" s="280" t="s">
        <v>138</v>
      </c>
      <c r="D124" s="280"/>
      <c r="E124" s="280"/>
      <c r="F124" s="280"/>
      <c r="G124" s="280"/>
      <c r="H124" s="280"/>
      <c r="I124" s="143">
        <f>I123</f>
        <v>2.69</v>
      </c>
      <c r="J124" s="274"/>
    </row>
    <row r="125" spans="2:10" x14ac:dyDescent="0.25">
      <c r="B125" s="272"/>
      <c r="C125" s="135" t="s">
        <v>139</v>
      </c>
      <c r="D125" s="136" t="s">
        <v>105</v>
      </c>
      <c r="E125" s="136" t="s">
        <v>112</v>
      </c>
      <c r="F125" s="136" t="s">
        <v>106</v>
      </c>
      <c r="G125" s="136" t="s">
        <v>113</v>
      </c>
      <c r="H125" s="136" t="s">
        <v>114</v>
      </c>
      <c r="I125" s="136" t="s">
        <v>115</v>
      </c>
      <c r="J125" s="274"/>
    </row>
    <row r="126" spans="2:10" x14ac:dyDescent="0.25">
      <c r="B126" s="272"/>
      <c r="C126" s="141"/>
      <c r="D126" s="142"/>
      <c r="E126" s="142"/>
      <c r="F126" s="136">
        <v>0</v>
      </c>
      <c r="G126" s="142"/>
      <c r="H126" s="141"/>
      <c r="I126" s="136">
        <v>0</v>
      </c>
      <c r="J126" s="274"/>
    </row>
    <row r="127" spans="2:10" x14ac:dyDescent="0.25">
      <c r="B127" s="272"/>
      <c r="C127" s="280" t="s">
        <v>140</v>
      </c>
      <c r="D127" s="280"/>
      <c r="E127" s="280"/>
      <c r="F127" s="280"/>
      <c r="G127" s="280"/>
      <c r="H127" s="280"/>
      <c r="I127" s="138">
        <v>0</v>
      </c>
      <c r="J127" s="274"/>
    </row>
    <row r="128" spans="2:10" x14ac:dyDescent="0.25">
      <c r="B128" s="272"/>
      <c r="C128" s="280" t="s">
        <v>141</v>
      </c>
      <c r="D128" s="280"/>
      <c r="E128" s="280"/>
      <c r="F128" s="280"/>
      <c r="G128" s="280"/>
      <c r="H128" s="135" t="s">
        <v>110</v>
      </c>
      <c r="I128" s="143">
        <f>I121+I124+I127</f>
        <v>3.9699999999999998</v>
      </c>
      <c r="J128" s="274"/>
    </row>
    <row r="129" spans="2:10" x14ac:dyDescent="0.25">
      <c r="B129" s="272"/>
      <c r="C129" s="280" t="s">
        <v>142</v>
      </c>
      <c r="D129" s="280"/>
      <c r="E129" s="280"/>
      <c r="F129" s="280"/>
      <c r="G129" s="280"/>
      <c r="H129" s="280"/>
      <c r="I129" s="142"/>
      <c r="J129" s="274"/>
    </row>
    <row r="130" spans="2:10" x14ac:dyDescent="0.25">
      <c r="B130" s="272"/>
      <c r="C130" s="280" t="s">
        <v>143</v>
      </c>
      <c r="D130" s="280"/>
      <c r="E130" s="280"/>
      <c r="F130" s="280"/>
      <c r="G130" s="280"/>
      <c r="H130" s="280"/>
      <c r="I130" s="138">
        <v>0</v>
      </c>
      <c r="J130" s="274"/>
    </row>
    <row r="131" spans="2:10" x14ac:dyDescent="0.25">
      <c r="B131" s="272"/>
      <c r="C131" s="164" t="s">
        <v>144</v>
      </c>
      <c r="D131" s="302"/>
      <c r="E131" s="302"/>
      <c r="F131" s="302"/>
      <c r="G131" s="302"/>
      <c r="H131" s="302"/>
      <c r="I131" s="302"/>
      <c r="J131" s="274"/>
    </row>
    <row r="132" spans="2:10" ht="48" customHeight="1" x14ac:dyDescent="0.25">
      <c r="B132" s="272"/>
      <c r="C132" s="286" t="s">
        <v>178</v>
      </c>
      <c r="D132" s="286"/>
      <c r="E132" s="286"/>
      <c r="F132" s="286"/>
      <c r="G132" s="286"/>
      <c r="H132" s="286"/>
      <c r="I132" s="286"/>
      <c r="J132" s="274"/>
    </row>
    <row r="133" spans="2:10" x14ac:dyDescent="0.25">
      <c r="B133" s="272"/>
      <c r="C133" s="303" t="s">
        <v>145</v>
      </c>
      <c r="D133" s="304"/>
      <c r="E133" s="304"/>
      <c r="F133" s="304"/>
      <c r="G133" s="304"/>
      <c r="H133" s="304"/>
      <c r="I133" s="305"/>
      <c r="J133" s="274"/>
    </row>
    <row r="134" spans="2:10" x14ac:dyDescent="0.25">
      <c r="B134" s="272"/>
      <c r="C134" s="306"/>
      <c r="D134" s="307"/>
      <c r="E134" s="307"/>
      <c r="F134" s="307"/>
      <c r="G134" s="307"/>
      <c r="H134" s="307"/>
      <c r="I134" s="308"/>
      <c r="J134" s="274"/>
    </row>
    <row r="135" spans="2:10" x14ac:dyDescent="0.25">
      <c r="B135" s="272"/>
      <c r="C135" s="309"/>
      <c r="D135" s="310"/>
      <c r="E135" s="310"/>
      <c r="F135" s="310"/>
      <c r="G135" s="310"/>
      <c r="H135" s="310"/>
      <c r="I135" s="311"/>
      <c r="J135" s="274"/>
    </row>
    <row r="136" spans="2:10" x14ac:dyDescent="0.25">
      <c r="B136" s="272"/>
      <c r="C136" s="290" t="s">
        <v>176</v>
      </c>
      <c r="D136" s="290"/>
      <c r="E136" s="290"/>
      <c r="F136" s="290"/>
      <c r="G136" s="290"/>
      <c r="H136" s="290"/>
      <c r="I136" s="290"/>
      <c r="J136" s="274"/>
    </row>
    <row r="137" spans="2:10" x14ac:dyDescent="0.25">
      <c r="B137" s="272"/>
      <c r="C137" s="297"/>
      <c r="D137" s="298"/>
      <c r="E137" s="298"/>
      <c r="F137" s="298"/>
      <c r="G137" s="298"/>
      <c r="H137" s="298"/>
      <c r="I137" s="299"/>
      <c r="J137" s="274"/>
    </row>
    <row r="138" spans="2:10" x14ac:dyDescent="0.25">
      <c r="B138" s="272"/>
      <c r="C138" s="295" t="s">
        <v>146</v>
      </c>
      <c r="D138" s="295"/>
      <c r="E138" s="295" t="s">
        <v>147</v>
      </c>
      <c r="F138" s="295"/>
      <c r="G138" s="295"/>
      <c r="H138" s="295"/>
      <c r="I138" s="295"/>
      <c r="J138" s="274"/>
    </row>
    <row r="139" spans="2:10" x14ac:dyDescent="0.25">
      <c r="B139" s="272"/>
      <c r="C139" s="296"/>
      <c r="D139" s="296"/>
      <c r="E139" s="296"/>
      <c r="F139" s="296"/>
      <c r="G139" s="296"/>
      <c r="H139" s="296"/>
      <c r="I139" s="296"/>
      <c r="J139" s="274"/>
    </row>
    <row r="140" spans="2:10" x14ac:dyDescent="0.25">
      <c r="B140" s="272"/>
      <c r="C140" s="296"/>
      <c r="D140" s="296"/>
      <c r="E140" s="296"/>
      <c r="F140" s="296"/>
      <c r="G140" s="296"/>
      <c r="H140" s="296"/>
      <c r="I140" s="296"/>
      <c r="J140" s="274"/>
    </row>
    <row r="141" spans="2:10" x14ac:dyDescent="0.25">
      <c r="B141" s="272"/>
      <c r="C141" s="296"/>
      <c r="D141" s="296"/>
      <c r="E141" s="296"/>
      <c r="F141" s="296"/>
      <c r="G141" s="296"/>
      <c r="H141" s="296"/>
      <c r="I141" s="296"/>
      <c r="J141" s="274"/>
    </row>
    <row r="142" spans="2:10" x14ac:dyDescent="0.25">
      <c r="B142" s="272"/>
      <c r="C142" s="296"/>
      <c r="D142" s="296"/>
      <c r="E142" s="296"/>
      <c r="F142" s="296"/>
      <c r="G142" s="296"/>
      <c r="H142" s="296"/>
      <c r="I142" s="296"/>
      <c r="J142" s="274"/>
    </row>
    <row r="143" spans="2:10" x14ac:dyDescent="0.25">
      <c r="B143" s="272"/>
      <c r="C143" s="296"/>
      <c r="D143" s="296"/>
      <c r="E143" s="296"/>
      <c r="F143" s="296"/>
      <c r="G143" s="296"/>
      <c r="H143" s="296"/>
      <c r="I143" s="296"/>
      <c r="J143" s="274"/>
    </row>
    <row r="144" spans="2:10" x14ac:dyDescent="0.25">
      <c r="B144" s="272"/>
      <c r="C144" s="296"/>
      <c r="D144" s="296"/>
      <c r="E144" s="296"/>
      <c r="F144" s="296"/>
      <c r="G144" s="296"/>
      <c r="H144" s="296"/>
      <c r="I144" s="296"/>
      <c r="J144" s="274"/>
    </row>
    <row r="145" spans="2:10" x14ac:dyDescent="0.25">
      <c r="B145" s="272"/>
      <c r="C145" s="300"/>
      <c r="D145" s="300"/>
      <c r="E145" s="300"/>
      <c r="F145" s="300"/>
      <c r="G145" s="300"/>
      <c r="H145" s="300"/>
      <c r="I145" s="300"/>
      <c r="J145" s="274"/>
    </row>
    <row r="146" spans="2:10" x14ac:dyDescent="0.25">
      <c r="B146" s="272"/>
      <c r="C146" s="301"/>
      <c r="D146" s="301"/>
      <c r="E146" s="301"/>
      <c r="F146" s="301"/>
      <c r="G146" s="301"/>
      <c r="H146" s="301"/>
      <c r="I146" s="301"/>
      <c r="J146" s="274"/>
    </row>
    <row r="147" spans="2:10" x14ac:dyDescent="0.25">
      <c r="B147" s="272"/>
      <c r="C147" s="301"/>
      <c r="D147" s="301"/>
      <c r="E147" s="301"/>
      <c r="F147" s="301"/>
      <c r="G147" s="301"/>
      <c r="H147" s="301"/>
      <c r="I147" s="301"/>
      <c r="J147" s="274"/>
    </row>
    <row r="148" spans="2:10" x14ac:dyDescent="0.25">
      <c r="B148" s="272"/>
      <c r="C148" s="301"/>
      <c r="D148" s="301"/>
      <c r="E148" s="301"/>
      <c r="F148" s="301"/>
      <c r="G148" s="301"/>
      <c r="H148" s="301"/>
      <c r="I148" s="301"/>
      <c r="J148" s="274"/>
    </row>
    <row r="149" spans="2:10" x14ac:dyDescent="0.25">
      <c r="B149" s="272"/>
      <c r="C149" s="301"/>
      <c r="D149" s="301"/>
      <c r="E149" s="301"/>
      <c r="F149" s="301"/>
      <c r="G149" s="301"/>
      <c r="H149" s="301"/>
      <c r="I149" s="301"/>
      <c r="J149" s="274"/>
    </row>
    <row r="150" spans="2:10" x14ac:dyDescent="0.25">
      <c r="B150" s="272"/>
      <c r="C150" s="301"/>
      <c r="D150" s="301"/>
      <c r="E150" s="301"/>
      <c r="F150" s="301"/>
      <c r="G150" s="301"/>
      <c r="H150" s="301"/>
      <c r="I150" s="301"/>
      <c r="J150" s="274"/>
    </row>
    <row r="151" spans="2:10" x14ac:dyDescent="0.25">
      <c r="B151" s="272"/>
      <c r="C151" s="301"/>
      <c r="D151" s="301"/>
      <c r="E151" s="301"/>
      <c r="F151" s="301"/>
      <c r="G151" s="301"/>
      <c r="H151" s="301"/>
      <c r="I151" s="301"/>
      <c r="J151" s="274"/>
    </row>
    <row r="152" spans="2:10" x14ac:dyDescent="0.25">
      <c r="B152" s="272"/>
      <c r="C152" s="301"/>
      <c r="D152" s="301"/>
      <c r="E152" s="301"/>
      <c r="F152" s="301"/>
      <c r="G152" s="301"/>
      <c r="H152" s="301"/>
      <c r="I152" s="301"/>
      <c r="J152" s="274"/>
    </row>
    <row r="153" spans="2:10" x14ac:dyDescent="0.25">
      <c r="B153" s="272"/>
      <c r="C153" s="301"/>
      <c r="D153" s="301"/>
      <c r="E153" s="301"/>
      <c r="F153" s="301"/>
      <c r="G153" s="301"/>
      <c r="H153" s="301"/>
      <c r="I153" s="301"/>
      <c r="J153" s="274"/>
    </row>
    <row r="154" spans="2:10" x14ac:dyDescent="0.25">
      <c r="B154" s="272"/>
      <c r="C154" s="301"/>
      <c r="D154" s="301"/>
      <c r="E154" s="301"/>
      <c r="F154" s="301"/>
      <c r="G154" s="301"/>
      <c r="H154" s="301"/>
      <c r="I154" s="301"/>
      <c r="J154" s="274"/>
    </row>
    <row r="155" spans="2:10" x14ac:dyDescent="0.25">
      <c r="B155" s="272"/>
      <c r="C155" s="301"/>
      <c r="D155" s="301"/>
      <c r="E155" s="301"/>
      <c r="F155" s="301"/>
      <c r="G155" s="301"/>
      <c r="H155" s="301"/>
      <c r="I155" s="301"/>
      <c r="J155" s="274"/>
    </row>
    <row r="156" spans="2:10" x14ac:dyDescent="0.25">
      <c r="B156" s="272"/>
      <c r="C156" s="301"/>
      <c r="D156" s="301"/>
      <c r="E156" s="301"/>
      <c r="F156" s="301"/>
      <c r="G156" s="301"/>
      <c r="H156" s="301"/>
      <c r="I156" s="301"/>
      <c r="J156" s="274"/>
    </row>
    <row r="157" spans="2:10" x14ac:dyDescent="0.25">
      <c r="B157" s="272"/>
      <c r="C157" s="301"/>
      <c r="D157" s="301"/>
      <c r="E157" s="301"/>
      <c r="F157" s="301"/>
      <c r="G157" s="301"/>
      <c r="H157" s="301"/>
      <c r="I157" s="301"/>
      <c r="J157" s="274"/>
    </row>
    <row r="158" spans="2:10" x14ac:dyDescent="0.25">
      <c r="B158" s="272"/>
      <c r="C158" s="301"/>
      <c r="D158" s="301"/>
      <c r="E158" s="301"/>
      <c r="F158" s="301"/>
      <c r="G158" s="301"/>
      <c r="H158" s="301"/>
      <c r="I158" s="301"/>
      <c r="J158" s="274"/>
    </row>
    <row r="159" spans="2:10" x14ac:dyDescent="0.25">
      <c r="B159" s="272"/>
      <c r="C159" s="301"/>
      <c r="D159" s="301"/>
      <c r="E159" s="301"/>
      <c r="F159" s="301"/>
      <c r="G159" s="301"/>
      <c r="H159" s="301"/>
      <c r="I159" s="301"/>
      <c r="J159" s="274"/>
    </row>
    <row r="160" spans="2:10" x14ac:dyDescent="0.25">
      <c r="B160" s="272"/>
      <c r="C160" s="301"/>
      <c r="D160" s="301"/>
      <c r="E160" s="301"/>
      <c r="F160" s="301"/>
      <c r="G160" s="301"/>
      <c r="H160" s="301"/>
      <c r="I160" s="301"/>
      <c r="J160" s="274"/>
    </row>
    <row r="161" spans="2:10" x14ac:dyDescent="0.25">
      <c r="B161" s="272"/>
      <c r="C161" s="301"/>
      <c r="D161" s="301"/>
      <c r="E161" s="301"/>
      <c r="F161" s="301"/>
      <c r="G161" s="301"/>
      <c r="H161" s="301"/>
      <c r="I161" s="301"/>
      <c r="J161" s="274"/>
    </row>
    <row r="162" spans="2:10" x14ac:dyDescent="0.25">
      <c r="B162" s="272"/>
      <c r="C162" s="301"/>
      <c r="D162" s="301"/>
      <c r="E162" s="301"/>
      <c r="F162" s="301"/>
      <c r="G162" s="301"/>
      <c r="H162" s="301"/>
      <c r="I162" s="301"/>
      <c r="J162" s="274"/>
    </row>
    <row r="163" spans="2:10" x14ac:dyDescent="0.25">
      <c r="B163" s="272"/>
      <c r="C163" s="301"/>
      <c r="D163" s="301"/>
      <c r="E163" s="301"/>
      <c r="F163" s="301"/>
      <c r="G163" s="301"/>
      <c r="H163" s="301"/>
      <c r="I163" s="301"/>
      <c r="J163" s="274"/>
    </row>
    <row r="164" spans="2:10" x14ac:dyDescent="0.25">
      <c r="B164" s="272"/>
      <c r="C164" s="301"/>
      <c r="D164" s="301"/>
      <c r="E164" s="301"/>
      <c r="F164" s="301"/>
      <c r="G164" s="301"/>
      <c r="H164" s="301"/>
      <c r="I164" s="301"/>
      <c r="J164" s="274"/>
    </row>
    <row r="165" spans="2:10" x14ac:dyDescent="0.25">
      <c r="B165" s="272"/>
      <c r="C165" s="301"/>
      <c r="D165" s="301"/>
      <c r="E165" s="301"/>
      <c r="F165" s="301"/>
      <c r="G165" s="301"/>
      <c r="H165" s="301"/>
      <c r="I165" s="301"/>
      <c r="J165" s="274"/>
    </row>
    <row r="166" spans="2:10" x14ac:dyDescent="0.25">
      <c r="B166" s="272"/>
      <c r="C166" s="301"/>
      <c r="D166" s="301"/>
      <c r="E166" s="301"/>
      <c r="F166" s="301"/>
      <c r="G166" s="301"/>
      <c r="H166" s="301"/>
      <c r="I166" s="301"/>
      <c r="J166" s="274"/>
    </row>
    <row r="167" spans="2:10" x14ac:dyDescent="0.25">
      <c r="B167" s="272"/>
      <c r="C167" s="301"/>
      <c r="D167" s="301"/>
      <c r="E167" s="301"/>
      <c r="F167" s="301"/>
      <c r="G167" s="301"/>
      <c r="H167" s="301"/>
      <c r="I167" s="301"/>
      <c r="J167" s="274"/>
    </row>
    <row r="168" spans="2:10" x14ac:dyDescent="0.25">
      <c r="B168" s="272"/>
      <c r="C168" s="301"/>
      <c r="D168" s="301"/>
      <c r="E168" s="301"/>
      <c r="F168" s="301"/>
      <c r="G168" s="301"/>
      <c r="H168" s="301"/>
      <c r="I168" s="301"/>
      <c r="J168" s="274"/>
    </row>
    <row r="169" spans="2:10" x14ac:dyDescent="0.25">
      <c r="B169" s="272"/>
      <c r="C169" s="301"/>
      <c r="D169" s="301"/>
      <c r="E169" s="301"/>
      <c r="F169" s="301"/>
      <c r="G169" s="301"/>
      <c r="H169" s="301"/>
      <c r="I169" s="301"/>
      <c r="J169" s="274"/>
    </row>
    <row r="170" spans="2:10" x14ac:dyDescent="0.25">
      <c r="B170" s="272"/>
      <c r="C170" s="301"/>
      <c r="D170" s="301"/>
      <c r="E170" s="301"/>
      <c r="F170" s="301"/>
      <c r="G170" s="301"/>
      <c r="H170" s="301"/>
      <c r="I170" s="301"/>
      <c r="J170" s="274"/>
    </row>
    <row r="171" spans="2:10" x14ac:dyDescent="0.25">
      <c r="B171" s="272"/>
      <c r="C171" s="301"/>
      <c r="D171" s="301"/>
      <c r="E171" s="301"/>
      <c r="F171" s="301"/>
      <c r="G171" s="301"/>
      <c r="H171" s="301"/>
      <c r="I171" s="301"/>
      <c r="J171" s="274"/>
    </row>
    <row r="172" spans="2:10" x14ac:dyDescent="0.25">
      <c r="B172" s="272"/>
      <c r="C172" s="301"/>
      <c r="D172" s="301"/>
      <c r="E172" s="301"/>
      <c r="F172" s="301"/>
      <c r="G172" s="301"/>
      <c r="H172" s="301"/>
      <c r="I172" s="301"/>
      <c r="J172" s="274"/>
    </row>
    <row r="173" spans="2:10" x14ac:dyDescent="0.25">
      <c r="B173" s="272"/>
      <c r="C173" s="301"/>
      <c r="D173" s="301"/>
      <c r="E173" s="301"/>
      <c r="F173" s="301"/>
      <c r="G173" s="301"/>
      <c r="H173" s="301"/>
      <c r="I173" s="301"/>
      <c r="J173" s="274"/>
    </row>
    <row r="174" spans="2:10" x14ac:dyDescent="0.25">
      <c r="B174" s="272"/>
      <c r="C174" s="301"/>
      <c r="D174" s="301"/>
      <c r="E174" s="301"/>
      <c r="F174" s="301"/>
      <c r="G174" s="301"/>
      <c r="H174" s="301"/>
      <c r="I174" s="301"/>
      <c r="J174" s="274"/>
    </row>
    <row r="175" spans="2:10" x14ac:dyDescent="0.25">
      <c r="B175" s="272"/>
      <c r="C175" s="301"/>
      <c r="D175" s="301"/>
      <c r="E175" s="301"/>
      <c r="F175" s="301"/>
      <c r="G175" s="301"/>
      <c r="H175" s="301"/>
      <c r="I175" s="301"/>
      <c r="J175" s="274"/>
    </row>
    <row r="176" spans="2:10" x14ac:dyDescent="0.25">
      <c r="B176" s="272"/>
      <c r="C176" s="301"/>
      <c r="D176" s="301"/>
      <c r="E176" s="301"/>
      <c r="F176" s="301"/>
      <c r="G176" s="301"/>
      <c r="H176" s="301"/>
      <c r="I176" s="301"/>
      <c r="J176" s="274"/>
    </row>
    <row r="177" spans="2:10" x14ac:dyDescent="0.25">
      <c r="B177" s="272"/>
      <c r="C177" s="301"/>
      <c r="D177" s="301"/>
      <c r="E177" s="301"/>
      <c r="F177" s="301"/>
      <c r="G177" s="301"/>
      <c r="H177" s="301"/>
      <c r="I177" s="301"/>
      <c r="J177" s="274"/>
    </row>
    <row r="178" spans="2:10" x14ac:dyDescent="0.25">
      <c r="B178" s="272"/>
      <c r="C178" s="301"/>
      <c r="D178" s="301"/>
      <c r="E178" s="301"/>
      <c r="F178" s="301"/>
      <c r="G178" s="301"/>
      <c r="H178" s="301"/>
      <c r="I178" s="301"/>
      <c r="J178" s="274"/>
    </row>
    <row r="179" spans="2:10" x14ac:dyDescent="0.25">
      <c r="B179" s="272"/>
      <c r="C179" s="301"/>
      <c r="D179" s="301"/>
      <c r="E179" s="301"/>
      <c r="F179" s="301"/>
      <c r="G179" s="301"/>
      <c r="H179" s="301"/>
      <c r="I179" s="301"/>
      <c r="J179" s="274"/>
    </row>
    <row r="180" spans="2:10" x14ac:dyDescent="0.25">
      <c r="B180" s="272"/>
      <c r="C180" s="301"/>
      <c r="D180" s="301"/>
      <c r="E180" s="301"/>
      <c r="F180" s="301"/>
      <c r="G180" s="301"/>
      <c r="H180" s="301"/>
      <c r="I180" s="301"/>
      <c r="J180" s="274"/>
    </row>
    <row r="181" spans="2:10" x14ac:dyDescent="0.25">
      <c r="B181" s="272"/>
      <c r="C181" s="301"/>
      <c r="D181" s="301"/>
      <c r="E181" s="301"/>
      <c r="F181" s="301"/>
      <c r="G181" s="301"/>
      <c r="H181" s="301"/>
      <c r="I181" s="301"/>
      <c r="J181" s="274"/>
    </row>
    <row r="182" spans="2:10" x14ac:dyDescent="0.25">
      <c r="B182" s="272"/>
      <c r="C182" s="301"/>
      <c r="D182" s="301"/>
      <c r="E182" s="301"/>
      <c r="F182" s="301"/>
      <c r="G182" s="301"/>
      <c r="H182" s="301"/>
      <c r="I182" s="301"/>
      <c r="J182" s="274"/>
    </row>
    <row r="183" spans="2:10" x14ac:dyDescent="0.25">
      <c r="B183" s="272"/>
      <c r="C183" s="301"/>
      <c r="D183" s="301"/>
      <c r="E183" s="301"/>
      <c r="F183" s="301"/>
      <c r="G183" s="301"/>
      <c r="H183" s="301"/>
      <c r="I183" s="301"/>
      <c r="J183" s="274"/>
    </row>
    <row r="184" spans="2:10" x14ac:dyDescent="0.25">
      <c r="B184" s="272"/>
      <c r="C184" s="301"/>
      <c r="D184" s="301"/>
      <c r="E184" s="301"/>
      <c r="F184" s="301"/>
      <c r="G184" s="301"/>
      <c r="H184" s="301"/>
      <c r="I184" s="301"/>
      <c r="J184" s="274"/>
    </row>
    <row r="185" spans="2:10" x14ac:dyDescent="0.25">
      <c r="B185" s="272"/>
      <c r="C185" s="301"/>
      <c r="D185" s="301"/>
      <c r="E185" s="301"/>
      <c r="F185" s="301"/>
      <c r="G185" s="301"/>
      <c r="H185" s="301"/>
      <c r="I185" s="301"/>
      <c r="J185" s="274"/>
    </row>
    <row r="186" spans="2:10" x14ac:dyDescent="0.25">
      <c r="B186" s="272"/>
      <c r="C186" s="301"/>
      <c r="D186" s="301"/>
      <c r="E186" s="301"/>
      <c r="F186" s="301"/>
      <c r="G186" s="301"/>
      <c r="H186" s="301"/>
      <c r="I186" s="301"/>
      <c r="J186" s="274"/>
    </row>
    <row r="187" spans="2:10" x14ac:dyDescent="0.25">
      <c r="B187" s="272"/>
      <c r="C187" s="301"/>
      <c r="D187" s="301"/>
      <c r="E187" s="301"/>
      <c r="F187" s="301"/>
      <c r="G187" s="301"/>
      <c r="H187" s="301"/>
      <c r="I187" s="301"/>
      <c r="J187" s="274"/>
    </row>
    <row r="188" spans="2:10" ht="14.25" customHeight="1" x14ac:dyDescent="0.25">
      <c r="B188" s="272"/>
      <c r="C188" s="301"/>
      <c r="D188" s="301"/>
      <c r="E188" s="301"/>
      <c r="F188" s="301"/>
      <c r="G188" s="301"/>
      <c r="H188" s="301"/>
      <c r="I188" s="301"/>
      <c r="J188" s="274"/>
    </row>
    <row r="189" spans="2:10" x14ac:dyDescent="0.25">
      <c r="B189" s="273"/>
      <c r="C189" s="294"/>
      <c r="D189" s="294"/>
      <c r="E189" s="294"/>
      <c r="F189" s="294"/>
      <c r="G189" s="294"/>
      <c r="H189" s="294"/>
      <c r="I189" s="294"/>
      <c r="J189" s="275"/>
    </row>
  </sheetData>
  <mergeCells count="62">
    <mergeCell ref="C116:H116"/>
    <mergeCell ref="C119:H119"/>
    <mergeCell ref="D120:E120"/>
    <mergeCell ref="C132:I132"/>
    <mergeCell ref="C136:I136"/>
    <mergeCell ref="C133:I135"/>
    <mergeCell ref="C124:H124"/>
    <mergeCell ref="C127:H127"/>
    <mergeCell ref="C128:G128"/>
    <mergeCell ref="F120:H120"/>
    <mergeCell ref="C121:E121"/>
    <mergeCell ref="F121:H121"/>
    <mergeCell ref="C139:D144"/>
    <mergeCell ref="E139:I144"/>
    <mergeCell ref="C137:I137"/>
    <mergeCell ref="C145:I188"/>
    <mergeCell ref="C129:H129"/>
    <mergeCell ref="C130:H130"/>
    <mergeCell ref="D131:I131"/>
    <mergeCell ref="C33:H33"/>
    <mergeCell ref="C34:G34"/>
    <mergeCell ref="C35:H35"/>
    <mergeCell ref="C107:E107"/>
    <mergeCell ref="C108:I108"/>
    <mergeCell ref="C38:I38"/>
    <mergeCell ref="C40:I40"/>
    <mergeCell ref="C39:I39"/>
    <mergeCell ref="C105:I105"/>
    <mergeCell ref="C106:E106"/>
    <mergeCell ref="B104:J104"/>
    <mergeCell ref="J105:J189"/>
    <mergeCell ref="B105:B189"/>
    <mergeCell ref="C189:I189"/>
    <mergeCell ref="C138:D138"/>
    <mergeCell ref="E138:I138"/>
    <mergeCell ref="C30:H30"/>
    <mergeCell ref="C11:I11"/>
    <mergeCell ref="C12:E12"/>
    <mergeCell ref="C13:E13"/>
    <mergeCell ref="C14:I14"/>
    <mergeCell ref="C22:H22"/>
    <mergeCell ref="C25:H25"/>
    <mergeCell ref="D26:E26"/>
    <mergeCell ref="F26:H26"/>
    <mergeCell ref="C27:E27"/>
    <mergeCell ref="F27:H27"/>
    <mergeCell ref="B2:J2"/>
    <mergeCell ref="D8:E8"/>
    <mergeCell ref="D9:E9"/>
    <mergeCell ref="F8:G8"/>
    <mergeCell ref="D4:I4"/>
    <mergeCell ref="D5:I5"/>
    <mergeCell ref="D6:I6"/>
    <mergeCell ref="C3:I3"/>
    <mergeCell ref="B3:B102"/>
    <mergeCell ref="J3:J102"/>
    <mergeCell ref="F9:G9"/>
    <mergeCell ref="C10:I10"/>
    <mergeCell ref="C102:I102"/>
    <mergeCell ref="C41:I41"/>
    <mergeCell ref="C36:H36"/>
    <mergeCell ref="C37:I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horizontalDpi="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EFA0-4B36-4524-8340-DA56B2A12FFE}">
  <dimension ref="A1:G9"/>
  <sheetViews>
    <sheetView workbookViewId="0">
      <selection activeCell="I17" sqref="I17"/>
    </sheetView>
  </sheetViews>
  <sheetFormatPr defaultRowHeight="15" x14ac:dyDescent="0.25"/>
  <cols>
    <col min="1" max="1" width="15.5703125" customWidth="1"/>
    <col min="2" max="2" width="12.5703125" customWidth="1"/>
    <col min="4" max="4" width="49.85546875" customWidth="1"/>
    <col min="5" max="5" width="12.5703125" customWidth="1"/>
    <col min="6" max="6" width="14.28515625" customWidth="1"/>
    <col min="7" max="7" width="17.5703125" customWidth="1"/>
  </cols>
  <sheetData>
    <row r="1" spans="1:7" ht="36" x14ac:dyDescent="0.25">
      <c r="A1" s="151"/>
      <c r="B1" s="151" t="s">
        <v>87</v>
      </c>
      <c r="C1" s="151">
        <v>104375</v>
      </c>
      <c r="D1" s="152" t="s">
        <v>158</v>
      </c>
      <c r="E1" s="151" t="s">
        <v>77</v>
      </c>
      <c r="F1" s="151"/>
      <c r="G1" s="153" t="s">
        <v>157</v>
      </c>
    </row>
    <row r="2" spans="1:7" ht="60" x14ac:dyDescent="0.25">
      <c r="A2" s="148" t="s">
        <v>155</v>
      </c>
      <c r="B2" s="146" t="s">
        <v>89</v>
      </c>
      <c r="C2" s="146">
        <v>91486</v>
      </c>
      <c r="D2" s="147" t="s">
        <v>116</v>
      </c>
      <c r="E2" s="146" t="s">
        <v>117</v>
      </c>
      <c r="F2" s="146">
        <v>5.1000000000000004E-3</v>
      </c>
      <c r="G2" s="146">
        <v>74.23</v>
      </c>
    </row>
    <row r="3" spans="1:7" ht="60" x14ac:dyDescent="0.25">
      <c r="A3" s="148" t="s">
        <v>155</v>
      </c>
      <c r="B3" s="146" t="s">
        <v>89</v>
      </c>
      <c r="C3" s="146">
        <v>83362</v>
      </c>
      <c r="D3" s="147" t="s">
        <v>118</v>
      </c>
      <c r="E3" s="146" t="s">
        <v>119</v>
      </c>
      <c r="F3" s="146">
        <v>4.0000000000000002E-4</v>
      </c>
      <c r="G3" s="146">
        <v>270.68</v>
      </c>
    </row>
    <row r="4" spans="1:7" ht="24" x14ac:dyDescent="0.25">
      <c r="A4" s="148" t="s">
        <v>155</v>
      </c>
      <c r="B4" s="146" t="s">
        <v>89</v>
      </c>
      <c r="C4" s="146">
        <v>89036</v>
      </c>
      <c r="D4" s="147" t="s">
        <v>120</v>
      </c>
      <c r="E4" s="146" t="s">
        <v>117</v>
      </c>
      <c r="F4" s="146">
        <v>3.8E-3</v>
      </c>
      <c r="G4" s="146">
        <v>58.01</v>
      </c>
    </row>
    <row r="5" spans="1:7" ht="24" x14ac:dyDescent="0.25">
      <c r="A5" s="148" t="s">
        <v>155</v>
      </c>
      <c r="B5" s="146" t="s">
        <v>89</v>
      </c>
      <c r="C5" s="146">
        <v>89035</v>
      </c>
      <c r="D5" s="147" t="s">
        <v>121</v>
      </c>
      <c r="E5" s="146" t="s">
        <v>119</v>
      </c>
      <c r="F5" s="146">
        <v>1.6999999999999999E-3</v>
      </c>
      <c r="G5" s="146">
        <v>141.87</v>
      </c>
    </row>
    <row r="6" spans="1:7" ht="36" x14ac:dyDescent="0.25">
      <c r="A6" s="148" t="s">
        <v>155</v>
      </c>
      <c r="B6" s="146" t="s">
        <v>89</v>
      </c>
      <c r="C6" s="146">
        <v>5841</v>
      </c>
      <c r="D6" s="147" t="s">
        <v>122</v>
      </c>
      <c r="E6" s="146" t="s">
        <v>117</v>
      </c>
      <c r="F6" s="146">
        <v>4.0000000000000001E-3</v>
      </c>
      <c r="G6" s="146">
        <v>4.68</v>
      </c>
    </row>
    <row r="7" spans="1:7" ht="36" x14ac:dyDescent="0.25">
      <c r="A7" s="148" t="s">
        <v>155</v>
      </c>
      <c r="B7" s="146" t="s">
        <v>89</v>
      </c>
      <c r="C7" s="146">
        <v>5839</v>
      </c>
      <c r="D7" s="147" t="s">
        <v>123</v>
      </c>
      <c r="E7" s="146" t="s">
        <v>119</v>
      </c>
      <c r="F7" s="146">
        <v>2E-3</v>
      </c>
      <c r="G7" s="146">
        <v>9.31</v>
      </c>
    </row>
    <row r="8" spans="1:7" ht="30" x14ac:dyDescent="0.25">
      <c r="A8" s="148" t="s">
        <v>156</v>
      </c>
      <c r="B8" s="146" t="s">
        <v>89</v>
      </c>
      <c r="C8" s="146">
        <v>44952</v>
      </c>
      <c r="D8" s="149" t="s">
        <v>159</v>
      </c>
      <c r="E8" s="150" t="s">
        <v>137</v>
      </c>
      <c r="F8" s="150">
        <v>0.45</v>
      </c>
      <c r="G8" s="150" t="s">
        <v>160</v>
      </c>
    </row>
    <row r="9" spans="1:7" x14ac:dyDescent="0.25">
      <c r="A9" s="172"/>
      <c r="B9" s="172"/>
      <c r="C9" s="172"/>
      <c r="D9" s="172"/>
      <c r="E9" s="172"/>
      <c r="F9" s="172"/>
      <c r="G9" s="172"/>
    </row>
  </sheetData>
  <mergeCells count="1">
    <mergeCell ref="A9:G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BDI</vt:lpstr>
      <vt:lpstr>ORÇAMENTO</vt:lpstr>
      <vt:lpstr>CRONOGRAMA</vt:lpstr>
      <vt:lpstr>MEMÓRIA DE CÁLCULO</vt:lpstr>
      <vt:lpstr>COMPOSIÇÃO</vt:lpstr>
      <vt:lpstr>REFERÊNCIA</vt:lpstr>
      <vt:lpstr>COMPOSIÇÃO!Area_de_impressao</vt:lpstr>
      <vt:lpstr>CRONOGRAMA!Area_de_impressao</vt:lpstr>
      <vt:lpstr>'MEMÓRIA DE CÁLCULO'!Area_de_impressao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Peterson Amaral Lima</dc:creator>
  <cp:lastModifiedBy>Leonardo Peterson Amaral Lima</cp:lastModifiedBy>
  <cp:lastPrinted>2026-05-19T12:37:19Z</cp:lastPrinted>
  <dcterms:created xsi:type="dcterms:W3CDTF">2025-04-02T15:14:09Z</dcterms:created>
  <dcterms:modified xsi:type="dcterms:W3CDTF">2026-05-19T12:38:01Z</dcterms:modified>
</cp:coreProperties>
</file>