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FEITURA\OBRAS 2026\RECAPEAMENTO\LICITAÇÃO\"/>
    </mc:Choice>
  </mc:AlternateContent>
  <xr:revisionPtr revIDLastSave="0" documentId="13_ncr:1_{93473BF7-2B87-420D-914B-D88F27F6E0C2}" xr6:coauthVersionLast="47" xr6:coauthVersionMax="47" xr10:uidLastSave="{00000000-0000-0000-0000-000000000000}"/>
  <bookViews>
    <workbookView xWindow="-120" yWindow="-120" windowWidth="29040" windowHeight="15720" activeTab="1" xr2:uid="{BC7E82ED-24DA-47D3-A3DE-70EA21059675}"/>
  </bookViews>
  <sheets>
    <sheet name="BDI" sheetId="1" r:id="rId1"/>
    <sheet name="ORÇAMENTO" sheetId="2" r:id="rId2"/>
    <sheet name="CRONOGRAMA" sheetId="3" r:id="rId3"/>
    <sheet name="MEMÓRIA DE CÁLCULO" sheetId="5" r:id="rId4"/>
    <sheet name="COMPOSIÇÃO" sheetId="6" r:id="rId5"/>
    <sheet name="REFERÊNCIA" sheetId="7" r:id="rId6"/>
  </sheets>
  <externalReferences>
    <externalReference r:id="rId7"/>
  </externalReferences>
  <definedNames>
    <definedName name="ACOMPANHAMENTO" hidden="1">IF(VALUE([1]MENU!$O$4)=2,"BM","PLE")</definedName>
    <definedName name="_xlnm.Print_Area" localSheetId="0">BDI!$A$1:$L$51</definedName>
    <definedName name="_xlnm.Print_Area" localSheetId="4">COMPOSIÇÃO!$B$2:$J$85</definedName>
    <definedName name="_xlnm.Print_Area" localSheetId="2">CRONOGRAMA!$A$1:$K$26</definedName>
    <definedName name="_xlnm.Print_Area" localSheetId="3">'MEMÓRIA DE CÁLCULO'!$A$1:$P$33</definedName>
    <definedName name="_xlnm.Print_Area" localSheetId="1">ORÇAMENTO!$A$1:$K$39</definedName>
    <definedName name="AUTOEVENTO" hidden="1">#REF!</definedName>
    <definedName name="BDI.Opcao" hidden="1">[1]DADOS!$F$18</definedName>
    <definedName name="BDI.TipoObra" hidden="1">[1]BDI!$A$138:$A$146</definedName>
    <definedName name="CÁLCULO.NúmeroDeFrentes" hidden="1">COLUMN([1]CÁLCULO!$AA$15)-COLUMN([1]CÁLCULO!$Q$15)</definedName>
    <definedName name="CRONO.MaxParc" hidden="1">[1]CRONO!$G65536+[1]CRONO!A1</definedName>
    <definedName name="CRONOPLE.ValorDoEvento" hidden="1">SUMIF([1]CÁLCULO!$M$15:$M$27,[1]CRONOPLE!$B1,OFFSET([1]CÁLCULO!$AA$15:$AA$27,0,[1]CRONOPLE!A$12))</definedName>
    <definedName name="DESONERACAO" hidden="1">IF(OR(Import.Desoneracao="DESONERADO",Import.Desoneracao="SIM"),"SIM","NÃO")</definedName>
    <definedName name="EVENTOS.ListaValidacao" hidden="1">[1]EVENTOS!$B$15:OFFSET([1]EVENTOS!$B$62,-1,0)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RespOrçamento" hidden="1">[1]DADOS!$F$22:$F$24</definedName>
    <definedName name="Import.SICONV" hidden="1">[1]DADOS!$F$8</definedName>
    <definedName name="ORÇAMENTO.BancoRef" hidden="1">CRONOGRAMA!#REF!</definedName>
    <definedName name="ORÇAMENTO.CustoUnitario" hidden="1">ROUND(CRONOGRAMA!$T1,15-13*CRONOGRAMA!#REF!)</definedName>
    <definedName name="ORÇAMENTO.PrecoUnitarioLicitado" hidden="1">CRONOGRAMA!$AK1</definedName>
    <definedName name="REFERENCIA.Descricao" hidden="1">IF(ISNUMBER(CRONOGRAMA!$AE1),OFFSET(INDIRECT(ORÇAMENTO.BancoRef),CRONOGRAMA!$AE1-1,3,1),CRONOGRAMA!$AE1)</definedName>
    <definedName name="REFERENCIA.Unidade" hidden="1">IF(ISNUMBER(CRONOGRAMA!$AE1),OFFSET(INDIRECT(ORÇAMENTO.BancoRef),CRONOGRAMA!$AE1-1,4,1),"-")</definedName>
    <definedName name="SomaAgrup" hidden="1">SUMIF(OFFSET(CRONOGRAMA!#REF!,1,0,CRONOGRAMA!#REF!),"S",OFFSET(CRONOGRAMA!A1,1,0,CRONOGRAMA!#REF!))</definedName>
    <definedName name="TIPOORCAMENTO" hidden="1">IF(VALUE([1]MENU!$O$3)=2,"Licitado","Proposto")</definedName>
    <definedName name="VTOTAL1" hidden="1">ROUND(CRONOGRAMA!$S1*CRONOGRAMA!$V1,15-13*CRONOGRAMA!$AE$9)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J21" i="5"/>
  <c r="K21" i="5"/>
  <c r="L21" i="5"/>
  <c r="M21" i="5"/>
  <c r="N21" i="5"/>
  <c r="O21" i="5"/>
  <c r="I21" i="5"/>
  <c r="O20" i="5"/>
  <c r="J20" i="5"/>
  <c r="K20" i="5"/>
  <c r="L20" i="5"/>
  <c r="M20" i="5"/>
  <c r="N20" i="5"/>
  <c r="I20" i="5"/>
  <c r="J18" i="5"/>
  <c r="K18" i="5"/>
  <c r="L18" i="5"/>
  <c r="M18" i="5"/>
  <c r="N18" i="5"/>
  <c r="O18" i="5"/>
  <c r="I18" i="5"/>
  <c r="B9" i="1"/>
  <c r="C14" i="3"/>
  <c r="C13" i="3"/>
  <c r="J23" i="5"/>
  <c r="K23" i="5"/>
  <c r="L23" i="5"/>
  <c r="M23" i="5"/>
  <c r="N23" i="5"/>
  <c r="O23" i="5"/>
  <c r="V22" i="5"/>
  <c r="D22" i="5"/>
  <c r="C22" i="5"/>
  <c r="V19" i="5"/>
  <c r="D19" i="5"/>
  <c r="C19" i="5"/>
  <c r="H13" i="5"/>
  <c r="I15" i="5" l="1"/>
  <c r="J15" i="5"/>
  <c r="K15" i="5"/>
  <c r="L15" i="5"/>
  <c r="M15" i="5"/>
  <c r="F20" i="5" l="1"/>
  <c r="N15" i="5" l="1"/>
  <c r="O15" i="5"/>
  <c r="I23" i="5"/>
  <c r="D11" i="5"/>
  <c r="D5" i="6"/>
  <c r="C8" i="6" s="1"/>
  <c r="I8" i="6"/>
  <c r="I23" i="6"/>
  <c r="I24" i="6" s="1"/>
  <c r="I28" i="6"/>
  <c r="I29" i="6" s="1"/>
  <c r="I16" i="6"/>
  <c r="I17" i="6"/>
  <c r="I18" i="6"/>
  <c r="I19" i="6"/>
  <c r="I20" i="6"/>
  <c r="I15" i="6"/>
  <c r="E18" i="2"/>
  <c r="J8" i="2"/>
  <c r="I19" i="2" l="1"/>
  <c r="I14" i="2"/>
  <c r="I21" i="6"/>
  <c r="I25" i="6" s="1"/>
  <c r="I26" i="6" s="1"/>
  <c r="I33" i="6" s="1"/>
  <c r="I16" i="2"/>
  <c r="I24" i="2"/>
  <c r="T23" i="5" s="1"/>
  <c r="I22" i="2"/>
  <c r="I21" i="2"/>
  <c r="F13" i="5"/>
  <c r="V16" i="5"/>
  <c r="E18" i="5"/>
  <c r="E20" i="5"/>
  <c r="E21" i="5"/>
  <c r="E23" i="5"/>
  <c r="E17" i="5"/>
  <c r="C18" i="5"/>
  <c r="C20" i="5"/>
  <c r="C21" i="5"/>
  <c r="C23" i="5"/>
  <c r="C16" i="5"/>
  <c r="C17" i="5"/>
  <c r="D23" i="5"/>
  <c r="D21" i="5"/>
  <c r="D20" i="5"/>
  <c r="D18" i="5"/>
  <c r="D17" i="5"/>
  <c r="D16" i="5"/>
  <c r="C12" i="3"/>
  <c r="C11" i="3"/>
  <c r="K22" i="5" l="1"/>
  <c r="L22" i="5"/>
  <c r="M22" i="5"/>
  <c r="N22" i="5"/>
  <c r="O22" i="5"/>
  <c r="I22" i="5"/>
  <c r="J22" i="5"/>
  <c r="H23" i="5"/>
  <c r="H17" i="5"/>
  <c r="H18" i="5"/>
  <c r="H20" i="5"/>
  <c r="H21" i="5"/>
  <c r="H18" i="2"/>
  <c r="I18" i="2" s="1"/>
  <c r="T17" i="5" s="1"/>
  <c r="I35" i="6"/>
  <c r="G21" i="2"/>
  <c r="F17" i="5"/>
  <c r="F18" i="5"/>
  <c r="F15" i="5"/>
  <c r="F23" i="5"/>
  <c r="T18" i="5"/>
  <c r="T20" i="5"/>
  <c r="T21" i="5"/>
  <c r="J16" i="5" l="1"/>
  <c r="K16" i="5"/>
  <c r="L16" i="5"/>
  <c r="M16" i="5"/>
  <c r="N16" i="5"/>
  <c r="O16" i="5"/>
  <c r="X16" i="5" s="1"/>
  <c r="I16" i="5"/>
  <c r="J19" i="5"/>
  <c r="K19" i="5"/>
  <c r="L19" i="5"/>
  <c r="M19" i="5"/>
  <c r="Y19" i="5" s="1"/>
  <c r="O19" i="5"/>
  <c r="I19" i="5"/>
  <c r="N19" i="5"/>
  <c r="X22" i="5"/>
  <c r="Z22" i="5"/>
  <c r="R22" i="5"/>
  <c r="V20" i="5"/>
  <c r="V18" i="5"/>
  <c r="G19" i="2"/>
  <c r="V17" i="5"/>
  <c r="G18" i="2"/>
  <c r="G24" i="2"/>
  <c r="J24" i="2" s="1"/>
  <c r="J23" i="2" s="1"/>
  <c r="D14" i="3" s="1"/>
  <c r="V23" i="5"/>
  <c r="G16" i="2"/>
  <c r="F21" i="5"/>
  <c r="X19" i="5" l="1"/>
  <c r="F14" i="3"/>
  <c r="H14" i="3"/>
  <c r="Y22" i="5"/>
  <c r="G14" i="3" s="1"/>
  <c r="M14" i="3" s="1"/>
  <c r="R19" i="5"/>
  <c r="Z19" i="5"/>
  <c r="Y16" i="5"/>
  <c r="Z16" i="5"/>
  <c r="R16" i="5"/>
  <c r="V21" i="5"/>
  <c r="G22" i="2"/>
  <c r="B37" i="2"/>
  <c r="B24" i="3" s="1"/>
  <c r="B31" i="5" s="1"/>
  <c r="G37" i="2"/>
  <c r="G24" i="3" s="1"/>
  <c r="I31" i="5" s="1"/>
  <c r="G38" i="2"/>
  <c r="G25" i="3" s="1"/>
  <c r="I32" i="5" s="1"/>
  <c r="G36" i="2"/>
  <c r="G23" i="3" s="1"/>
  <c r="I30" i="5" s="1"/>
  <c r="T13" i="5"/>
  <c r="O12" i="5" s="1"/>
  <c r="G14" i="2"/>
  <c r="E15" i="5"/>
  <c r="D15" i="5"/>
  <c r="D14" i="5"/>
  <c r="H15" i="5" s="1"/>
  <c r="C9" i="3"/>
  <c r="C10" i="3"/>
  <c r="B34" i="2"/>
  <c r="B21" i="3" s="1"/>
  <c r="B28" i="5" s="1"/>
  <c r="B5" i="2"/>
  <c r="D5" i="3"/>
  <c r="B10" i="5"/>
  <c r="H10" i="2"/>
  <c r="G2" i="1"/>
  <c r="B6" i="5" l="1"/>
  <c r="C5" i="6"/>
  <c r="R12" i="5"/>
  <c r="V13" i="5"/>
  <c r="J14" i="2"/>
  <c r="J13" i="2" s="1"/>
  <c r="J18" i="2"/>
  <c r="J19" i="2"/>
  <c r="J22" i="2"/>
  <c r="J21" i="2"/>
  <c r="C10" i="5"/>
  <c r="E6" i="5"/>
  <c r="E8" i="2"/>
  <c r="B11" i="2"/>
  <c r="B5" i="3"/>
  <c r="J20" i="2" l="1"/>
  <c r="D13" i="3" s="1"/>
  <c r="F13" i="3" s="1"/>
  <c r="J17" i="2"/>
  <c r="D12" i="3" s="1"/>
  <c r="D10" i="3"/>
  <c r="J16" i="2"/>
  <c r="J15" i="2" s="1"/>
  <c r="T15" i="5"/>
  <c r="K14" i="5" s="1"/>
  <c r="K10" i="5" s="1"/>
  <c r="H13" i="3" l="1"/>
  <c r="G13" i="3"/>
  <c r="M13" i="3" s="1"/>
  <c r="J12" i="2"/>
  <c r="J11" i="2" s="1"/>
  <c r="O14" i="5"/>
  <c r="L14" i="5"/>
  <c r="L10" i="5" s="1"/>
  <c r="J14" i="5"/>
  <c r="I14" i="5"/>
  <c r="N14" i="5"/>
  <c r="N10" i="5" s="1"/>
  <c r="M14" i="5"/>
  <c r="G12" i="3"/>
  <c r="F12" i="3"/>
  <c r="H12" i="3"/>
  <c r="V15" i="5"/>
  <c r="V10" i="5" s="1"/>
  <c r="D11" i="3"/>
  <c r="Z14" i="5" l="1"/>
  <c r="H11" i="3" s="1"/>
  <c r="R14" i="5"/>
  <c r="I10" i="5"/>
  <c r="J10" i="5"/>
  <c r="Y14" i="5"/>
  <c r="G11" i="3" s="1"/>
  <c r="M10" i="5"/>
  <c r="X14" i="5"/>
  <c r="F11" i="3" s="1"/>
  <c r="O10" i="5"/>
  <c r="M12" i="3"/>
  <c r="D9" i="3"/>
  <c r="G9" i="3" l="1"/>
  <c r="G16" i="3" s="1"/>
  <c r="G17" i="3" s="1"/>
  <c r="H16" i="3"/>
  <c r="H17" i="3" s="1"/>
  <c r="T10" i="5"/>
  <c r="M11" i="3"/>
  <c r="R10" i="5"/>
  <c r="F16" i="3" l="1"/>
  <c r="M9" i="3"/>
  <c r="F18" i="3" l="1"/>
  <c r="G18" i="3" s="1"/>
  <c r="H18" i="3" s="1"/>
  <c r="F17" i="3"/>
  <c r="F19" i="3" s="1"/>
  <c r="G19" i="3" s="1"/>
  <c r="H19" i="3" s="1"/>
  <c r="B13" i="2"/>
  <c r="H19" i="5"/>
  <c r="E19" i="5"/>
  <c r="B14" i="2"/>
  <c r="H11" i="5"/>
  <c r="E11" i="5"/>
  <c r="F11" i="5"/>
  <c r="H12" i="5"/>
  <c r="E12" i="5"/>
  <c r="F12" i="5"/>
  <c r="E22" i="5"/>
  <c r="H22" i="5"/>
  <c r="E14" i="5"/>
  <c r="H14" i="5"/>
  <c r="H16" i="5"/>
  <c r="E16" i="5"/>
  <c r="I12" i="2"/>
  <c r="B12" i="2"/>
  <c r="E13" i="5"/>
</calcChain>
</file>

<file path=xl/sharedStrings.xml><?xml version="1.0" encoding="utf-8"?>
<sst xmlns="http://schemas.openxmlformats.org/spreadsheetml/2006/main" count="329" uniqueCount="196">
  <si>
    <t>Grau de Sigilo</t>
  </si>
  <si>
    <t>#PUBLICO</t>
  </si>
  <si>
    <t>PROPONENTE / TOMADOR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</si>
  <si>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</si>
  <si>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</si>
  <si>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</si>
  <si>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</si>
  <si>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</si>
  <si>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</si>
  <si>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</si>
  <si>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</si>
  <si>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</si>
  <si>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</si>
  <si>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</si>
  <si>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</si>
  <si>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</si>
  <si>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</si>
  <si>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</si>
  <si>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</si>
  <si>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</si>
  <si>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</si>
  <si>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</si>
  <si>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</si>
  <si>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</si>
  <si>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>Observações:</t>
  </si>
  <si>
    <t>Local</t>
  </si>
  <si>
    <t>Data</t>
  </si>
  <si>
    <t>Responsável Técnico</t>
  </si>
  <si>
    <t>Nome:</t>
  </si>
  <si>
    <t>CREA/CAU:</t>
  </si>
  <si>
    <t>ART/RRT: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</si>
  <si>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</si>
  <si>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</si>
  <si>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</si>
  <si>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</si>
  <si>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</si>
  <si>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</si>
  <si>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</si>
  <si>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</si>
  <si>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</si>
  <si>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</si>
  <si>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(1+AC + S + R + G)*(1 + DF)*(1+L)</t>
  </si>
  <si>
    <t>OBJETO</t>
  </si>
  <si>
    <t>Declaro para os devidos fins que, conforme legislação tributária municipal, a base de cálculo deste tipo de obra corresponde à 100%, com a respectiva alíquota de 5%</t>
  </si>
  <si>
    <t>PO - PLANILHA ORÇAMENTÁRIA</t>
  </si>
  <si>
    <t>DATA BASE</t>
  </si>
  <si>
    <t>Nível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</si>
  <si>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</si>
  <si>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</si>
  <si>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</si>
  <si>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</si>
  <si>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</si>
  <si>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</si>
  <si>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</si>
  <si>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</si>
  <si>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Serviço</t>
  </si>
  <si>
    <t>Nível 2</t>
  </si>
  <si>
    <t xml:space="preserve">Serviços Iniciais </t>
  </si>
  <si>
    <t>ED-28427</t>
  </si>
  <si>
    <t>SÃO JOÃO DA LAGOA</t>
  </si>
  <si>
    <t>MUNICÍPIO / UF</t>
  </si>
  <si>
    <t>Memória de Cálculo</t>
  </si>
  <si>
    <t>1 UNIDADE</t>
  </si>
  <si>
    <t>Agrupador de Eventos</t>
  </si>
  <si>
    <t>TOTAL FINANC. POR FRENTE (R$):</t>
  </si>
  <si>
    <t>FRENTE DE OBRA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</si>
  <si>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</si>
  <si>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PLANILHA DE LEVANTAMENTO DE QUANTIDADES</t>
  </si>
  <si>
    <t>1.</t>
  </si>
  <si>
    <t>Valor (R$)</t>
  </si>
  <si>
    <t>Parcelas:</t>
  </si>
  <si>
    <t>% Período:</t>
  </si>
  <si>
    <t>1.1.</t>
  </si>
  <si>
    <t>%:</t>
  </si>
  <si>
    <t>CFF - CRONOGRAMA FÍSICO-FINANCEIRO</t>
  </si>
  <si>
    <t>Período</t>
  </si>
  <si>
    <t>Financeiro</t>
  </si>
  <si>
    <t>Acumulado</t>
  </si>
  <si>
    <t>UNI</t>
  </si>
  <si>
    <t>M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</si>
  <si>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</si>
  <si>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1.1</t>
  </si>
  <si>
    <t>1.1.1</t>
  </si>
  <si>
    <t>1.2</t>
  </si>
  <si>
    <t>PREFEITURA MUNICIPAL DE SÃO JOÃO DA LAGOA</t>
  </si>
  <si>
    <t>1.2.3</t>
  </si>
  <si>
    <t>REFERÊNCIA</t>
  </si>
  <si>
    <t>BDI</t>
  </si>
  <si>
    <t>SERVIÇOS INICIAIS</t>
  </si>
  <si>
    <t>SINAPI</t>
  </si>
  <si>
    <t>99814</t>
  </si>
  <si>
    <t>LIMPEZA DE SUPERFÍCIE COM JATO DE ALTA PRESSÃO. AF_04/2019</t>
  </si>
  <si>
    <t>M²</t>
  </si>
  <si>
    <t>TxKM</t>
  </si>
  <si>
    <t>ED-7623</t>
  </si>
  <si>
    <t>EXECUÇÃO E APLICAÇÃO DE CONCRETO BETUMINOSO USINADO A QUENTE (CBUQ), MASSA COMERCIAL, INCLUINDO FORNECIMENTO E TRANSPORTE DOS AGREGADOS E MATERIAL BETUMINOSO, EXCLUSIVE TRANSPORTE DA MASSA ASFÁLTICA ATÉ A PISTA</t>
  </si>
  <si>
    <t>M³</t>
  </si>
  <si>
    <t>SEINFRA</t>
  </si>
  <si>
    <t>M³xKM</t>
  </si>
  <si>
    <t>102331</t>
  </si>
  <si>
    <t>93590</t>
  </si>
  <si>
    <t>EXECUÇÃO DE SARJETA DE CONCRETO USINADO, MOLDADA IN LOCO EM TRECHO RETO, 30 CM BASE X 10 CM ALTURA. AF_01/2024</t>
  </si>
  <si>
    <t>94287</t>
  </si>
  <si>
    <t>1.3</t>
  </si>
  <si>
    <t>RECAPEAMENTO</t>
  </si>
  <si>
    <t>1.3.1</t>
  </si>
  <si>
    <t>1.3.2</t>
  </si>
  <si>
    <t>RUA LEPOLDINO</t>
  </si>
  <si>
    <t>RUA SÃO JUDAS</t>
  </si>
  <si>
    <t>RUA LUIS FERNANDES</t>
  </si>
  <si>
    <t>AVENIDA VISTA ALEGRE</t>
  </si>
  <si>
    <t>AVENIDA JOSÉ BENEDITO MACHADO</t>
  </si>
  <si>
    <t>RECAPEAMENTO DE DIVERSAS RUAS DO MUNICÍPIO</t>
  </si>
  <si>
    <t>MEMÓRIA DE CÁLCULO</t>
  </si>
  <si>
    <t>LEONARDO PETERSON AMARAL LIMA</t>
  </si>
  <si>
    <t>331.073/D</t>
  </si>
  <si>
    <t>Construção de Praças Urbanas, Rodovias, Ferrovias e recapeamento e pavimentação de vias urbanas</t>
  </si>
  <si>
    <t>COMPOSIÇÃO DE CUSTO UNITÁRIO</t>
  </si>
  <si>
    <t>SERVIÇO</t>
  </si>
  <si>
    <t>CÓDIGO</t>
  </si>
  <si>
    <t>UNIDADE</t>
  </si>
  <si>
    <t>SECRETARIA RESP.</t>
  </si>
  <si>
    <t>DATA DE ELABORAÇÃO</t>
  </si>
  <si>
    <t>EXECUÇÃO DE PINTURA DE LIGAÇÃO COM EMULSÃO ASFÁLTICA RR-2C.</t>
  </si>
  <si>
    <t>M2</t>
  </si>
  <si>
    <t>EQUIPAMENTO</t>
  </si>
  <si>
    <t>FONTE</t>
  </si>
  <si>
    <t>CONSUMO</t>
  </si>
  <si>
    <t>CUSTO UNITÁRIO</t>
  </si>
  <si>
    <t>CUSTO FINAL</t>
  </si>
  <si>
    <t>ESPARGIDOR DE ASFALTO PRESSURIZADO, TANQUE 6 M3 COM ISOLAÇÃO TÉRMICA, AQUECIDO COM 2 MAÇARICOS, COM BARRA ESPARGIDORA 3,60 M, MONTADO SOBRE CAMINHÃO TOCO, PBT 14.300 KG, POTÊNCIA 185 CV - CHI DIURNO. AF_05/2023</t>
  </si>
  <si>
    <t>CHI</t>
  </si>
  <si>
    <t>ESPARGIDOR DE ASFALTO PRESSURIZADO, TANQUE 6 M3 COM ISOLAÇÃO TÉRMICA, AQUECIDO COM 2 MAÇARICOS, COM BARRA ESPARGIDORA 3,60 M, MONTADO SOBRE CAMINHÃO TOCO, PBT 14.300 KG, POTÊNCIA 185 CV - CHP DIURNO. AF_05/2023</t>
  </si>
  <si>
    <t>CHP</t>
  </si>
  <si>
    <t>TRATOR DE PNEUS, POTÊNCIA 85 CV, TRAÇÃO 4X4, PESO COM LASTRO DE 4.675 KG - CHI DIURNO. AF_06/2014</t>
  </si>
  <si>
    <t>TRATOR DE PNEUS, POTÊNCIA 85 CV, TRAÇÃO 4X4, PESO COM LASTRO DE 4.675 KG - CHP DIURNO. AF_06/2014</t>
  </si>
  <si>
    <t>VASSOURA MECÂNICA REBOCÁVEL COM ESCOVA CILÍNDRICA, LARGURA ÚTIL DE VARRIMENTO DE 2,44 M - CHI DIURNO. AF_06/2014</t>
  </si>
  <si>
    <t>VASSOURA MECÂNICA REBOCÁVEL COM ESCOVA CILÍNDRICA, LARGURA ÚTIL DE VARRIMENTO DE 2,44 M - CHP DIURNO. AF_06/2014</t>
  </si>
  <si>
    <t>(A)TOTAL</t>
  </si>
  <si>
    <t>MÃO DE OBRA SUPLEMENTAR</t>
  </si>
  <si>
    <t>SERVENTE COM ENCARGOS COMPLEMENTARES</t>
  </si>
  <si>
    <t>H</t>
  </si>
  <si>
    <t>(B)TOTAL</t>
  </si>
  <si>
    <t>(C)PRODUÇÃO DA EQUIPE</t>
  </si>
  <si>
    <t>CUSTO HORÁRIO TOTAL(A + B)</t>
  </si>
  <si>
    <t>(D)CUSTO UNITÁRIO DA EXECUÇÃO</t>
  </si>
  <si>
    <t>[(A) + (B)] : (C) = (D)</t>
  </si>
  <si>
    <t>MATERIAL</t>
  </si>
  <si>
    <t>EMULSÕES ASFÁLTICAS RR-2C</t>
  </si>
  <si>
    <t>-</t>
  </si>
  <si>
    <t>ANP</t>
  </si>
  <si>
    <t>KG</t>
  </si>
  <si>
    <t>(E)TOTAL</t>
  </si>
  <si>
    <t>SERVIÇOS</t>
  </si>
  <si>
    <t>(F)TOTAL</t>
  </si>
  <si>
    <t>CUSTO UNITÁRIO TOTAL: (D) + (E) + (F) (R$)</t>
  </si>
  <si>
    <t>BDI (%)</t>
  </si>
  <si>
    <t>PREÇO UNITÁRIO (R$)</t>
  </si>
  <si>
    <t>OBS.:</t>
  </si>
  <si>
    <t>SINAPI NÃO DESONERADO - MÊS 07/2025 - DATA DE EMISSÃO: 12/08/2025</t>
  </si>
  <si>
    <t>SETOP NORTE NÃO DESONERADO - MÊS 04/2025- DATA DE EMISSÃO: 30/06/2025</t>
  </si>
  <si>
    <t>OBRAS E INFRAESTRUTURA</t>
  </si>
  <si>
    <t>Composição</t>
  </si>
  <si>
    <t>001</t>
  </si>
  <si>
    <t>COMPOSIÇÃO BASEADA NA TABELA SINAPI CÓDIGO N° 104375 - COMPOSIÇÃO SEM CUSTO SINAPI;
O VALOR DA EMULSÃO ASFÁLTICA RR-2C FOI RETIRADO DA TABELA ANP- AGÊNCIA NACIONAL DO PETRÓLEO, GÁS NATURAL E BIOCOMBUSTÍVEIS (ANP) - REGIÃO SUDESTE - FEV/26.</t>
  </si>
  <si>
    <t>SINAPI -MG / SETOP / ANP</t>
  </si>
  <si>
    <t>01 - 26 (DES) / OUT-25 (DES) / FEV (26)</t>
  </si>
  <si>
    <t>PLANILHA DE COMPOSIÇÃO</t>
  </si>
  <si>
    <t>COMPOSIÇÃO</t>
  </si>
  <si>
    <t>INSUMO</t>
  </si>
  <si>
    <t>VALOR UNITÁRIO (COM DESONERAÇÃO)</t>
  </si>
  <si>
    <t>EXECUÇÃO DE PINTURA DE LIGAÇÃO COM EMULSÃO ASFÁLTICA RR-2C, PARA OBRAS DE CONSTRUÇÃO DE PAVIMENTOS. AF_ 09/2024</t>
  </si>
  <si>
    <t>EMULSÃO ASFÁLTICA CATIONICA RR-2C PARA USO EM PAVIMENTAÇÃO ASFALTICA</t>
  </si>
  <si>
    <t>SEM PREÇO</t>
  </si>
  <si>
    <t>LIMPEZA DE BASE</t>
  </si>
  <si>
    <t>RUA JOÃO OLIVEIRA ROCHA</t>
  </si>
  <si>
    <t>segunda-feira, 06 de Abril de 2026</t>
  </si>
  <si>
    <t>294,35 m² +625,32 m² +363,59 m² +1034,07 m² +1399,44 m² +1553,7 m² +1520,35 m² = 6.790,82 m²
- RUA LEPOLDINO: 294,35 m²
- RUA ARNALDO GONÇALVES: 625,32 m²
- RUA JOÃO OLIVEIRA ROCHA: 363,59 m²
- RUA SÃO JUDAS: 1034,07 m²
- RUA LUIS FERNANDES: 1399,44 m²
AVENIDA VISTA ALEGRE: 1553,70 m²	
AVENIDA JOSÉ BENEDITO MACHADO: 1520,35 m²</t>
  </si>
  <si>
    <r>
      <t xml:space="preserve">TRANSPORTE COM CAMINHÃO TANQUE DE TRANSPORTE DE MATERIAL ASFÁLTICO DE 30000 L, EM VIA URBANAPAVIMENTADA, ADICIONAL PARA DMT EXCEDENTE A 30 KM (UNIDADE: TXKM). AF_07/2020 </t>
    </r>
    <r>
      <rPr>
        <sz val="11"/>
        <color rgb="FFFF0000"/>
        <rFont val="Aptos Narrow"/>
        <family val="2"/>
        <scheme val="minor"/>
      </rPr>
      <t>(EMULSÃO ASFÁLTICA RR-2C PARA SERVIÇO DE PINTURA DE LIGAÇÃO - REFINARIA&gt;OBRA  - DMT EXCEDENTE 30,00KM - DMT TOTAL ATÉ 447,00KM)</t>
    </r>
  </si>
  <si>
    <r>
      <t xml:space="preserve">TRANSPORTE COM CAMINHÃO BASCULANTE DE 10 M³, EM VIA URBANA PAVIMENTADA, ADICIONAL PARA DMT EXCEDENTE A 30 KM (UNIDADE: M3XKM). AF_07/2020 </t>
    </r>
    <r>
      <rPr>
        <sz val="11"/>
        <color rgb="FFFF0000"/>
        <rFont val="Aptos Narrow"/>
        <family val="2"/>
        <scheme val="minor"/>
      </rPr>
      <t>(MASSA CBUQ - USINA&gt;OBRA - DMT EXCEDENTE 72,00KM)</t>
    </r>
  </si>
  <si>
    <t>131,70 m + 271,95 m + 91,60 m + 480,84 m + 540,43 m + 314,64 m + 438,36 m = 2.269,52  m 
- RUA LEPOLDINO: 66 m +65,7 m = 131,70 m
- RUA ARNALDO GONÇALVES: 140,4 m +13,75 m +117,8 m = 271,95 m
- RUA JOÃO OLIVEIRA ROCHA: 28,23 m +55,28 m +8,09 m = 91,60 m
- RUA SÃO JUDAS: 238,66 m +242,18 m = 480,84 m
- RUA LUIS FERNANDES: 270,43 m +270 m = 540,43 m
- AVENIDA VISTA ALEGRE: 14,74 m +60,68 m +51,11 m +49,66 m +62,01 m +41,58 m +34,86 m = 314,64 m
- AVENIDA JOSÉ BENEDITO MACHADO: 69,87 m + 139,23 m + 9,41 m +10,16 m + 209,69 m = 438,36 m</t>
  </si>
  <si>
    <t>294,35 m² +625,32 m² +363,59 m² +1034,07 m² +1399,44 m² +1555,31 m² +1520,35 m² = 6792,43 m²
- RUA LEPOLDINO: 294,35 m²
- RUA ARNALDO GONÇALVES: 625,32 m²
- RUA JOÃO OLIVEIRA ROCHA: 363,59 m²
- RUA SÃO JUDAS: 1034,07 m²
- RUA LUIS FERNANDES: 1399,44 m²
- AVENIDA VISTA ALEGRE: 1555,31 m²	
- AVENIDA JOSÉ BENEDITO MACHADO: 1520,35 m²</t>
  </si>
  <si>
    <t>65,79 TxKm + 139,76 TxKm + 81,26 TxKm + 231,11 TxKm + 312,77 TxKm + 347,61 TxKm + 339,8 TxKm = 1518,11 TxKm
- RUA LEPOLDINO: 294,35 m² x 0,0005 (T/m²) x 447 Km = 65,79 TxKm
- RUA ARNALDO GONÇALVES: 625,32 m² x 0,0005 (T/m²) x 447 KM = 139,76 TxKm
- RUA JOÃO OLIVEIRA ROCHA: 363,59 m² x 0,0005 (T/m²) x 447 KM = 81,26 TxKm
- RUA SÃO JUDAS: 1034,07 m² x 0,0005 (T/m²) x 447 KM = 231,11 TxKm
- RUA LUIS FERNANDES: 1399,44 m² x 0,0005 (T/m²) x 447 KM = 312,77 TxKm
- AVENIDA VISTA ALEGRE: 1555,31 m² x 0,0005 (T/m²) x 447 KM =347,61 TxKm
- AVENIDA JOSÉ BENEDITO MACHADO: 1520,35 m² x 0,0005 (T/m²) x 447 KM = 339,8 TxKm</t>
  </si>
  <si>
    <t>423,86  m³ x Km + 900,46  m³ x Km + 523,57  m³ x Km + 1489,06  m³ x Km + 2015,19  m³ x Km + 2239,65  m³ x Km + 3283,96 m³ x Km = 10875,75 m³ x Km
- RUA LEPOLDINO: 5,89 m³ x 72 Km = 423,86  m³ x Km
- RUA ARNALDO GONÇALVES: 12,51 m³ x 72 Km = 900,46  m³ x Km
- RUA JOÃO OLIVEIRA ROCHA: 7,27 m³ x 72 Km = 523,57  m³ x Km
- RUA SÃO JUDAS:,68 m³ x 72 Km = 1489,06  m³ x Km
- RUA LUIS FERNANDES: 27,99 m³ x 72 Km = 2015,19  m³ x Km
- AVENIDA VISTA ALEGRE: 31,11 m³ x 72 Km = 223965  m³ x Km
- AVENIDA JOSÉ BENEDITO MACHADO: 45,61 m³ x 72 Km = 3283,96 m³ x Km</t>
  </si>
  <si>
    <t>5,89 m³ + 12,51 m³ + 7,27 m³ + 20,68 m³ + 31,11 m³ + 45,61 m³ = 151,05 m³
- RUA LEPOLDINO: 294,35 m² x 0,02 m = 5,89 m³
- RUA ARNALDO GONÇALVES: 625,32 m² x 0,02 m = 12,51 m³
- RUA JOÃO OLIVEIRA ROCHA: 363,59 m² x 0,02 m = 7,27 m³
- RUA SÃO JUDAS: 1034,07 m² x 0,02 m= 20,68 m³
- RUA LUIS FERNANDES: 1399,44 m² x 0,02 m = 27,99 m³
- AVENIDA VISTA ALEGRE: 1553,70 m² x 0,02 m = 31,11 m³
- AVENIDA JOSÉ BENEDITO MACHADO: 1520,35 m²x 0,03 m = 45,61 m³</t>
  </si>
  <si>
    <t>RUA HONOR GONÇALVES</t>
  </si>
  <si>
    <t>TABELA DE REFERÊNCIA:</t>
  </si>
  <si>
    <t>1.5</t>
  </si>
  <si>
    <t>1.4</t>
  </si>
  <si>
    <t>1.4.1</t>
  </si>
  <si>
    <t>1.4.2</t>
  </si>
  <si>
    <t>DRENAGEM</t>
  </si>
  <si>
    <t>1.5.1</t>
  </si>
  <si>
    <t>PINTURA DE LIGAÇÃO</t>
  </si>
  <si>
    <t>RECAPEAMENTO ASFÁLTICO EM CBUQ EM DIVERSAS VIAS URBANAS DO MUNICÍPIO DE SÃO JOÃO DA LAGOA/MG</t>
  </si>
  <si>
    <t>MG20264931327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</si>
</sst>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_(* #,##0.00_);_(* \(#,##0.00\);_(* \-??_);_(@_)"/>
    <numFmt numFmtId="169" formatCode="0\."/>
    <numFmt numFmtId="170" formatCode="_-* #,##0.00_-;\-* #,##0.00_-;_-* \-??_-;_-@_-"/>
    <numFmt numFmtId="171" formatCode="_(\ #,##0.00_);_(&quot; (&quot;#,##0.00\);_(&quot; -&quot;??_);_(@_)"/>
    <numFmt numFmtId="172" formatCode="mm/yy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42"/>
      </patternFill>
    </fill>
    <fill>
      <patternFill patternType="solid">
        <fgColor theme="2" tint="-0.499984740745262"/>
        <bgColor indexed="26"/>
      </patternFill>
    </fill>
    <fill>
      <patternFill patternType="lightUp"/>
    </fill>
    <fill>
      <patternFill patternType="solid">
        <fgColor theme="1" tint="0.34998626667073579"/>
        <b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ill="0" applyBorder="0" applyAlignment="0" applyProtection="0"/>
    <xf numFmtId="0" fontId="19" fillId="0" borderId="0"/>
    <xf numFmtId="170" fontId="3" fillId="0" borderId="0" applyFill="0" applyBorder="0" applyAlignment="0" applyProtection="0"/>
    <xf numFmtId="9" fontId="3" fillId="0" borderId="0" applyFill="0" applyBorder="0" applyAlignment="0" applyProtection="0"/>
  </cellStyleXfs>
  <cellXfs count="289">
    <xf numFmtId="0" fontId="0" fillId="0" borderId="0" xfId="0"/>
    <xf numFmtId="0" fontId="8" fillId="0" borderId="3" xfId="2" applyFont="1" applyBorder="1" applyAlignment="1">
      <alignment horizontal="center" vertical="center"/>
    </xf>
    <xf numFmtId="10" fontId="8" fillId="2" borderId="3" xfId="2" applyNumberFormat="1" applyFont="1" applyFill="1" applyBorder="1" applyAlignment="1" applyProtection="1">
      <alignment horizontal="center" vertical="center"/>
      <protection locked="0"/>
    </xf>
    <xf numFmtId="1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10" fontId="7" fillId="4" borderId="3" xfId="2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5" borderId="0" xfId="2" applyFont="1" applyFill="1" applyAlignment="1">
      <alignment horizontal="center" vertical="top"/>
    </xf>
    <xf numFmtId="0" fontId="11" fillId="5" borderId="0" xfId="2" applyFont="1" applyFill="1" applyAlignment="1">
      <alignment horizontal="center" vertical="top"/>
    </xf>
    <xf numFmtId="0" fontId="0" fillId="5" borderId="0" xfId="2" applyFont="1" applyFill="1"/>
    <xf numFmtId="167" fontId="0" fillId="5" borderId="0" xfId="2" applyNumberFormat="1" applyFont="1" applyFill="1"/>
    <xf numFmtId="0" fontId="5" fillId="5" borderId="5" xfId="2" applyFont="1" applyFill="1" applyBorder="1" applyAlignment="1">
      <alignment horizontal="left"/>
    </xf>
    <xf numFmtId="0" fontId="0" fillId="5" borderId="5" xfId="2" applyFont="1" applyFill="1" applyBorder="1"/>
    <xf numFmtId="0" fontId="8" fillId="5" borderId="0" xfId="2" applyFont="1" applyFill="1"/>
    <xf numFmtId="0" fontId="5" fillId="5" borderId="0" xfId="3" applyFont="1" applyFill="1" applyAlignment="1">
      <alignment horizontal="left" vertical="top"/>
    </xf>
    <xf numFmtId="0" fontId="6" fillId="5" borderId="0" xfId="2" applyFont="1" applyFill="1" applyAlignment="1">
      <alignment horizontal="left"/>
    </xf>
    <xf numFmtId="0" fontId="0" fillId="5" borderId="0" xfId="0" applyFill="1"/>
    <xf numFmtId="0" fontId="4" fillId="5" borderId="0" xfId="2" applyFont="1" applyFill="1" applyAlignment="1">
      <alignment horizontal="center"/>
    </xf>
    <xf numFmtId="0" fontId="5" fillId="5" borderId="0" xfId="2" applyFont="1" applyFill="1"/>
    <xf numFmtId="0" fontId="0" fillId="5" borderId="10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3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9" xfId="0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 shrinkToFit="1"/>
    </xf>
    <xf numFmtId="0" fontId="2" fillId="12" borderId="19" xfId="0" applyFont="1" applyFill="1" applyBorder="1" applyAlignment="1">
      <alignment vertical="center" wrapText="1" shrinkToFit="1"/>
    </xf>
    <xf numFmtId="49" fontId="2" fillId="13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9" xfId="0" applyFont="1" applyFill="1" applyBorder="1" applyAlignment="1" applyProtection="1">
      <alignment horizontal="left" vertical="center" wrapText="1"/>
      <protection locked="0"/>
    </xf>
    <xf numFmtId="0" fontId="2" fillId="14" borderId="19" xfId="0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vertical="center" shrinkToFit="1"/>
    </xf>
    <xf numFmtId="43" fontId="2" fillId="14" borderId="19" xfId="1" applyFont="1" applyFill="1" applyBorder="1" applyAlignment="1" applyProtection="1">
      <alignment vertical="center" wrapText="1"/>
      <protection locked="0"/>
    </xf>
    <xf numFmtId="168" fontId="2" fillId="12" borderId="19" xfId="1" applyNumberFormat="1" applyFont="1" applyFill="1" applyBorder="1" applyAlignment="1" applyProtection="1">
      <alignment horizontal="center" vertical="center" shrinkToFit="1"/>
    </xf>
    <xf numFmtId="0" fontId="2" fillId="9" borderId="19" xfId="0" applyFont="1" applyFill="1" applyBorder="1" applyAlignment="1">
      <alignment vertical="center" wrapText="1" shrinkToFit="1"/>
    </xf>
    <xf numFmtId="49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9" xfId="0" applyFont="1" applyFill="1" applyBorder="1" applyAlignment="1" applyProtection="1">
      <alignment horizontal="left" vertical="center" wrapText="1"/>
      <protection locked="0"/>
    </xf>
    <xf numFmtId="0" fontId="2" fillId="11" borderId="19" xfId="0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vertical="center" shrinkToFit="1"/>
    </xf>
    <xf numFmtId="43" fontId="2" fillId="11" borderId="19" xfId="1" applyFont="1" applyFill="1" applyBorder="1" applyAlignment="1" applyProtection="1">
      <alignment vertical="center" wrapText="1"/>
      <protection locked="0"/>
    </xf>
    <xf numFmtId="168" fontId="2" fillId="9" borderId="19" xfId="1" applyNumberFormat="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vertical="center" wrapText="1" shrinkToFi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vertical="center" shrinkToFit="1"/>
    </xf>
    <xf numFmtId="43" fontId="0" fillId="2" borderId="19" xfId="1" applyFont="1" applyFill="1" applyBorder="1" applyAlignment="1" applyProtection="1">
      <alignment vertical="center" wrapText="1"/>
      <protection locked="0"/>
    </xf>
    <xf numFmtId="168" fontId="0" fillId="0" borderId="19" xfId="1" applyNumberFormat="1" applyFont="1" applyFill="1" applyBorder="1" applyAlignment="1" applyProtection="1">
      <alignment horizontal="center" vertical="center" shrinkToFit="1"/>
    </xf>
    <xf numFmtId="168" fontId="0" fillId="0" borderId="0" xfId="0" applyNumberFormat="1"/>
    <xf numFmtId="0" fontId="8" fillId="5" borderId="0" xfId="0" applyFont="1" applyFill="1" applyAlignment="1">
      <alignment horizontal="left" wrapText="1"/>
    </xf>
    <xf numFmtId="0" fontId="7" fillId="5" borderId="12" xfId="2" applyFont="1" applyFill="1" applyBorder="1" applyAlignment="1">
      <alignment vertical="center"/>
    </xf>
    <xf numFmtId="0" fontId="5" fillId="5" borderId="0" xfId="0" applyFont="1" applyFill="1"/>
    <xf numFmtId="0" fontId="0" fillId="5" borderId="0" xfId="2" applyFont="1" applyFill="1" applyAlignment="1">
      <alignment vertical="center"/>
    </xf>
    <xf numFmtId="0" fontId="5" fillId="5" borderId="5" xfId="0" applyFont="1" applyFill="1" applyBorder="1"/>
    <xf numFmtId="0" fontId="0" fillId="5" borderId="5" xfId="0" applyFill="1" applyBorder="1"/>
    <xf numFmtId="0" fontId="0" fillId="5" borderId="5" xfId="2" applyFont="1" applyFill="1" applyBorder="1" applyAlignment="1">
      <alignment horizontal="left" vertical="top" wrapText="1"/>
    </xf>
    <xf numFmtId="0" fontId="0" fillId="5" borderId="5" xfId="2" applyFont="1" applyFill="1" applyBorder="1" applyAlignment="1">
      <alignment vertical="top" wrapText="1"/>
    </xf>
    <xf numFmtId="0" fontId="2" fillId="5" borderId="0" xfId="2" applyFont="1" applyFill="1" applyAlignment="1">
      <alignment vertical="top" wrapText="1"/>
    </xf>
    <xf numFmtId="0" fontId="2" fillId="5" borderId="21" xfId="2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9" fontId="0" fillId="2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19" xfId="1" applyNumberFormat="1" applyFont="1" applyFill="1" applyBorder="1" applyAlignment="1" applyProtection="1">
      <alignment vertical="center" wrapText="1" shrinkToFit="1"/>
    </xf>
    <xf numFmtId="43" fontId="0" fillId="2" borderId="19" xfId="1" applyFont="1" applyFill="1" applyBorder="1" applyAlignment="1" applyProtection="1">
      <alignment vertical="center" shrinkToFit="1"/>
      <protection locked="0"/>
    </xf>
    <xf numFmtId="0" fontId="5" fillId="16" borderId="19" xfId="0" applyFont="1" applyFill="1" applyBorder="1" applyAlignment="1">
      <alignment horizontal="center" vertical="center"/>
    </xf>
    <xf numFmtId="4" fontId="5" fillId="16" borderId="19" xfId="0" applyNumberFormat="1" applyFont="1" applyFill="1" applyBorder="1" applyAlignment="1">
      <alignment horizontal="right" vertical="center" shrinkToFit="1"/>
    </xf>
    <xf numFmtId="0" fontId="2" fillId="9" borderId="19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center" vertical="center" wrapText="1"/>
    </xf>
    <xf numFmtId="49" fontId="2" fillId="11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8" fillId="9" borderId="19" xfId="1" applyNumberFormat="1" applyFont="1" applyFill="1" applyBorder="1" applyAlignment="1" applyProtection="1">
      <alignment vertical="center" wrapText="1" shrinkToFit="1"/>
    </xf>
    <xf numFmtId="43" fontId="2" fillId="11" borderId="19" xfId="1" applyFont="1" applyFill="1" applyBorder="1" applyAlignment="1" applyProtection="1">
      <alignment vertical="center" shrinkToFit="1"/>
      <protection locked="0"/>
    </xf>
    <xf numFmtId="0" fontId="17" fillId="9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2" applyFont="1" applyFill="1" applyAlignment="1">
      <alignment horizontal="left" vertical="center" wrapText="1"/>
    </xf>
    <xf numFmtId="0" fontId="13" fillId="5" borderId="0" xfId="4" applyNumberFormat="1" applyFont="1" applyFill="1" applyBorder="1" applyAlignment="1" applyProtection="1">
      <alignment horizontal="left" vertical="center" wrapText="1"/>
    </xf>
    <xf numFmtId="0" fontId="2" fillId="9" borderId="19" xfId="0" applyFont="1" applyFill="1" applyBorder="1" applyAlignment="1">
      <alignment vertical="center"/>
    </xf>
    <xf numFmtId="0" fontId="2" fillId="9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5" borderId="17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170" fontId="0" fillId="8" borderId="0" xfId="6" applyFont="1" applyFill="1" applyBorder="1" applyAlignment="1" applyProtection="1">
      <alignment horizontal="center" vertical="center"/>
    </xf>
    <xf numFmtId="0" fontId="20" fillId="5" borderId="19" xfId="5" applyFont="1" applyFill="1" applyBorder="1" applyAlignment="1" applyProtection="1">
      <alignment horizontal="center" vertical="center"/>
      <protection locked="0"/>
    </xf>
    <xf numFmtId="0" fontId="20" fillId="0" borderId="19" xfId="5" applyFont="1" applyBorder="1" applyAlignment="1">
      <alignment horizontal="center" vertical="center"/>
    </xf>
    <xf numFmtId="172" fontId="20" fillId="5" borderId="19" xfId="5" applyNumberFormat="1" applyFont="1" applyFill="1" applyBorder="1" applyAlignment="1" applyProtection="1">
      <alignment horizontal="center" vertical="center"/>
      <protection locked="0"/>
    </xf>
    <xf numFmtId="169" fontId="21" fillId="0" borderId="19" xfId="5" applyNumberFormat="1" applyFont="1" applyBorder="1" applyAlignment="1">
      <alignment horizontal="left" vertical="center"/>
    </xf>
    <xf numFmtId="171" fontId="1" fillId="0" borderId="19" xfId="1" applyNumberFormat="1" applyFill="1" applyBorder="1" applyAlignment="1" applyProtection="1">
      <alignment horizontal="right" vertical="center" shrinkToFit="1"/>
    </xf>
    <xf numFmtId="171" fontId="0" fillId="0" borderId="19" xfId="1" applyNumberFormat="1" applyFont="1" applyFill="1" applyBorder="1" applyAlignment="1" applyProtection="1">
      <alignment horizontal="center" vertical="center"/>
    </xf>
    <xf numFmtId="10" fontId="15" fillId="0" borderId="19" xfId="7" applyNumberFormat="1" applyFont="1" applyFill="1" applyBorder="1" applyAlignment="1" applyProtection="1">
      <alignment horizontal="center" vertical="center"/>
    </xf>
    <xf numFmtId="0" fontId="21" fillId="8" borderId="0" xfId="5" applyFont="1" applyFill="1" applyAlignment="1">
      <alignment vertical="center"/>
    </xf>
    <xf numFmtId="170" fontId="0" fillId="4" borderId="19" xfId="6" applyFont="1" applyFill="1" applyBorder="1" applyAlignment="1" applyProtection="1">
      <alignment horizontal="right" vertical="center"/>
    </xf>
    <xf numFmtId="10" fontId="15" fillId="5" borderId="19" xfId="7" applyNumberFormat="1" applyFont="1" applyFill="1" applyBorder="1" applyAlignment="1" applyProtection="1">
      <alignment horizontal="center" vertical="center"/>
    </xf>
    <xf numFmtId="170" fontId="5" fillId="4" borderId="19" xfId="6" applyFont="1" applyFill="1" applyBorder="1" applyAlignment="1" applyProtection="1">
      <alignment horizontal="right" vertical="center"/>
    </xf>
    <xf numFmtId="170" fontId="22" fillId="18" borderId="19" xfId="6" applyFont="1" applyFill="1" applyBorder="1" applyAlignment="1" applyProtection="1">
      <alignment horizontal="center" vertical="center" shrinkToFit="1"/>
    </xf>
    <xf numFmtId="10" fontId="15" fillId="5" borderId="0" xfId="7" applyNumberFormat="1" applyFont="1" applyFill="1" applyBorder="1" applyAlignment="1" applyProtection="1">
      <alignment horizontal="center" vertical="center"/>
    </xf>
    <xf numFmtId="0" fontId="21" fillId="8" borderId="6" xfId="5" applyFont="1" applyFill="1" applyBorder="1" applyAlignment="1">
      <alignment vertical="center"/>
    </xf>
    <xf numFmtId="10" fontId="21" fillId="0" borderId="19" xfId="5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/>
    </xf>
    <xf numFmtId="0" fontId="0" fillId="19" borderId="19" xfId="0" applyFill="1" applyBorder="1" applyAlignment="1">
      <alignment vertical="center" wrapText="1"/>
    </xf>
    <xf numFmtId="0" fontId="0" fillId="0" borderId="19" xfId="0" applyBorder="1" applyAlignment="1">
      <alignment horizontal="justify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3" fillId="5" borderId="0" xfId="2" applyFill="1"/>
    <xf numFmtId="0" fontId="3" fillId="5" borderId="0" xfId="2" applyFill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168" fontId="0" fillId="19" borderId="19" xfId="1" applyNumberFormat="1" applyFont="1" applyFill="1" applyBorder="1" applyAlignment="1" applyProtection="1">
      <alignment vertical="center" shrinkToFit="1"/>
    </xf>
    <xf numFmtId="10" fontId="0" fillId="5" borderId="20" xfId="2" applyNumberFormat="1" applyFont="1" applyFill="1" applyBorder="1" applyAlignment="1">
      <alignment horizontal="center" vertical="center" wrapText="1"/>
    </xf>
    <xf numFmtId="43" fontId="0" fillId="0" borderId="0" xfId="0" applyNumberFormat="1"/>
    <xf numFmtId="2" fontId="0" fillId="0" borderId="0" xfId="0" applyNumberFormat="1"/>
    <xf numFmtId="10" fontId="21" fillId="0" borderId="19" xfId="5" applyNumberFormat="1" applyFont="1" applyBorder="1" applyAlignment="1">
      <alignment horizontal="left" vertical="center" wrapText="1"/>
    </xf>
    <xf numFmtId="0" fontId="5" fillId="5" borderId="0" xfId="3" applyFont="1" applyFill="1" applyAlignment="1">
      <alignment horizontal="left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/>
    <xf numFmtId="0" fontId="0" fillId="5" borderId="12" xfId="2" applyFont="1" applyFill="1" applyBorder="1" applyAlignment="1">
      <alignment horizontal="center" vertical="center" wrapText="1"/>
    </xf>
    <xf numFmtId="0" fontId="24" fillId="21" borderId="19" xfId="0" applyFont="1" applyFill="1" applyBorder="1" applyAlignment="1">
      <alignment horizontal="center" vertical="center" wrapText="1"/>
    </xf>
    <xf numFmtId="49" fontId="25" fillId="22" borderId="19" xfId="0" applyNumberFormat="1" applyFont="1" applyFill="1" applyBorder="1" applyAlignment="1">
      <alignment horizontal="center" vertical="center" wrapText="1"/>
    </xf>
    <xf numFmtId="0" fontId="25" fillId="22" borderId="19" xfId="0" applyFont="1" applyFill="1" applyBorder="1" applyAlignment="1">
      <alignment horizontal="center" vertical="center" wrapText="1"/>
    </xf>
    <xf numFmtId="14" fontId="25" fillId="22" borderId="19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24" fillId="0" borderId="19" xfId="0" applyFont="1" applyBorder="1" applyAlignment="1">
      <alignment horizontal="right" vertical="center" wrapText="1"/>
    </xf>
    <xf numFmtId="2" fontId="24" fillId="0" borderId="19" xfId="0" applyNumberFormat="1" applyFont="1" applyBorder="1" applyAlignment="1">
      <alignment horizontal="right" wrapText="1"/>
    </xf>
    <xf numFmtId="0" fontId="24" fillId="0" borderId="19" xfId="0" applyFont="1" applyBorder="1" applyAlignment="1">
      <alignment horizontal="right" wrapText="1"/>
    </xf>
    <xf numFmtId="0" fontId="26" fillId="0" borderId="19" xfId="0" applyFont="1" applyBorder="1" applyAlignment="1">
      <alignment vertical="center" wrapText="1"/>
    </xf>
    <xf numFmtId="0" fontId="26" fillId="22" borderId="19" xfId="0" applyFont="1" applyFill="1" applyBorder="1" applyAlignment="1">
      <alignment vertical="center" wrapText="1"/>
    </xf>
    <xf numFmtId="2" fontId="24" fillId="0" borderId="19" xfId="0" applyNumberFormat="1" applyFont="1" applyBorder="1" applyAlignment="1">
      <alignment horizontal="right" vertical="center" wrapText="1"/>
    </xf>
    <xf numFmtId="0" fontId="5" fillId="5" borderId="6" xfId="3" applyFont="1" applyFill="1" applyBorder="1" applyAlignment="1">
      <alignment vertical="top"/>
    </xf>
    <xf numFmtId="0" fontId="26" fillId="5" borderId="0" xfId="0" applyFont="1" applyFill="1" applyAlignment="1">
      <alignment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vertical="center" wrapText="1"/>
    </xf>
    <xf numFmtId="0" fontId="0" fillId="5" borderId="19" xfId="0" applyFill="1" applyBorder="1" applyAlignment="1">
      <alignment horizontal="center" vertic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left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8" fillId="5" borderId="8" xfId="2" applyFont="1" applyFill="1" applyBorder="1" applyAlignment="1">
      <alignment vertical="top" wrapText="1"/>
    </xf>
    <xf numFmtId="0" fontId="28" fillId="5" borderId="5" xfId="2" applyFont="1" applyFill="1" applyBorder="1" applyAlignment="1">
      <alignment horizontal="left" vertical="top" wrapText="1"/>
    </xf>
    <xf numFmtId="0" fontId="28" fillId="5" borderId="5" xfId="2" applyFont="1" applyFill="1" applyBorder="1" applyAlignment="1">
      <alignment vertical="top" wrapText="1"/>
    </xf>
    <xf numFmtId="0" fontId="30" fillId="5" borderId="21" xfId="0" applyFont="1" applyFill="1" applyBorder="1"/>
    <xf numFmtId="0" fontId="30" fillId="5" borderId="14" xfId="2" applyFont="1" applyFill="1" applyBorder="1" applyAlignment="1">
      <alignment vertical="top" wrapText="1"/>
    </xf>
    <xf numFmtId="0" fontId="30" fillId="5" borderId="21" xfId="2" applyFont="1" applyFill="1" applyBorder="1" applyAlignment="1">
      <alignment horizontal="center" vertical="top" wrapText="1"/>
    </xf>
    <xf numFmtId="0" fontId="28" fillId="5" borderId="20" xfId="0" applyFont="1" applyFill="1" applyBorder="1" applyAlignment="1">
      <alignment horizontal="left" vertical="center" wrapText="1"/>
    </xf>
    <xf numFmtId="0" fontId="28" fillId="5" borderId="13" xfId="2" applyFont="1" applyFill="1" applyBorder="1" applyAlignment="1">
      <alignment vertical="center" wrapText="1"/>
    </xf>
    <xf numFmtId="10" fontId="28" fillId="5" borderId="20" xfId="2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0" fillId="5" borderId="13" xfId="2" applyFont="1" applyFill="1" applyBorder="1" applyAlignment="1">
      <alignment horizontal="left" vertical="top" wrapText="1"/>
    </xf>
    <xf numFmtId="0" fontId="0" fillId="5" borderId="12" xfId="2" applyFont="1" applyFill="1" applyBorder="1" applyAlignment="1">
      <alignment horizontal="left" vertical="top" wrapText="1"/>
    </xf>
    <xf numFmtId="0" fontId="0" fillId="5" borderId="11" xfId="2" applyFont="1" applyFill="1" applyBorder="1" applyAlignment="1">
      <alignment horizontal="left" vertical="top" wrapText="1"/>
    </xf>
    <xf numFmtId="0" fontId="2" fillId="5" borderId="14" xfId="2" applyFont="1" applyFill="1" applyBorder="1" applyAlignment="1">
      <alignment horizontal="center" vertical="top" wrapText="1"/>
    </xf>
    <xf numFmtId="0" fontId="2" fillId="5" borderId="0" xfId="2" applyFont="1" applyFill="1" applyAlignment="1">
      <alignment horizontal="center" vertical="top" wrapText="1"/>
    </xf>
    <xf numFmtId="0" fontId="2" fillId="5" borderId="10" xfId="2" applyFont="1" applyFill="1" applyBorder="1" applyAlignment="1">
      <alignment horizontal="center" vertical="top" wrapText="1"/>
    </xf>
    <xf numFmtId="0" fontId="0" fillId="5" borderId="13" xfId="2" applyFont="1" applyFill="1" applyBorder="1" applyAlignment="1">
      <alignment horizontal="center" vertical="center" wrapText="1"/>
    </xf>
    <xf numFmtId="0" fontId="0" fillId="5" borderId="11" xfId="2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5" fillId="5" borderId="6" xfId="3" applyFont="1" applyFill="1" applyBorder="1" applyAlignment="1">
      <alignment horizontal="left" vertical="top"/>
    </xf>
    <xf numFmtId="0" fontId="5" fillId="5" borderId="0" xfId="3" applyFont="1" applyFill="1" applyAlignment="1">
      <alignment horizontal="left" vertical="top"/>
    </xf>
    <xf numFmtId="0" fontId="5" fillId="5" borderId="10" xfId="3" applyFont="1" applyFill="1" applyBorder="1" applyAlignment="1">
      <alignment horizontal="left" vertical="top"/>
    </xf>
    <xf numFmtId="0" fontId="0" fillId="5" borderId="8" xfId="2" applyFont="1" applyFill="1" applyBorder="1" applyAlignment="1">
      <alignment horizontal="left" vertical="top" wrapText="1"/>
    </xf>
    <xf numFmtId="0" fontId="0" fillId="5" borderId="4" xfId="2" applyFont="1" applyFill="1" applyBorder="1" applyAlignment="1">
      <alignment horizontal="left" vertical="top" wrapText="1"/>
    </xf>
    <xf numFmtId="0" fontId="5" fillId="5" borderId="7" xfId="3" applyFont="1" applyFill="1" applyBorder="1" applyAlignment="1">
      <alignment horizontal="left" vertical="top"/>
    </xf>
    <xf numFmtId="0" fontId="13" fillId="5" borderId="8" xfId="4" applyNumberFormat="1" applyFont="1" applyFill="1" applyBorder="1" applyAlignment="1" applyProtection="1">
      <alignment horizontal="left" vertical="top" wrapText="1"/>
    </xf>
    <xf numFmtId="0" fontId="13" fillId="5" borderId="4" xfId="4" applyNumberFormat="1" applyFont="1" applyFill="1" applyBorder="1" applyAlignment="1" applyProtection="1">
      <alignment horizontal="left" vertical="top" wrapText="1"/>
    </xf>
    <xf numFmtId="0" fontId="13" fillId="5" borderId="9" xfId="4" applyNumberFormat="1" applyFont="1" applyFill="1" applyBorder="1" applyAlignment="1" applyProtection="1">
      <alignment horizontal="left" vertical="top" wrapText="1"/>
    </xf>
    <xf numFmtId="0" fontId="3" fillId="5" borderId="0" xfId="2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5" fontId="0" fillId="5" borderId="4" xfId="0" applyNumberFormat="1" applyFill="1" applyBorder="1" applyAlignment="1">
      <alignment horizontal="left"/>
    </xf>
    <xf numFmtId="166" fontId="0" fillId="5" borderId="4" xfId="2" applyNumberFormat="1" applyFont="1" applyFill="1" applyBorder="1" applyAlignment="1">
      <alignment horizontal="left"/>
    </xf>
    <xf numFmtId="0" fontId="1" fillId="5" borderId="6" xfId="2" applyFont="1" applyFill="1" applyBorder="1" applyAlignment="1">
      <alignment horizontal="center" vertical="top" wrapText="1"/>
    </xf>
    <xf numFmtId="0" fontId="1" fillId="5" borderId="0" xfId="2" applyFont="1" applyFill="1" applyAlignment="1">
      <alignment horizontal="center" vertical="top" wrapText="1"/>
    </xf>
    <xf numFmtId="0" fontId="1" fillId="5" borderId="7" xfId="2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6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left" vertical="center"/>
    </xf>
    <xf numFmtId="0" fontId="0" fillId="5" borderId="9" xfId="2" applyFont="1" applyFill="1" applyBorder="1" applyAlignment="1">
      <alignment horizontal="left" vertical="top" wrapText="1"/>
    </xf>
    <xf numFmtId="49" fontId="0" fillId="6" borderId="3" xfId="2" applyNumberFormat="1" applyFont="1" applyFill="1" applyBorder="1" applyAlignment="1" applyProtection="1">
      <alignment horizontal="left" vertical="top" wrapText="1"/>
      <protection locked="0"/>
    </xf>
    <xf numFmtId="165" fontId="0" fillId="5" borderId="4" xfId="2" applyNumberFormat="1" applyFont="1" applyFill="1" applyBorder="1" applyAlignment="1">
      <alignment horizontal="left"/>
    </xf>
    <xf numFmtId="0" fontId="5" fillId="5" borderId="0" xfId="2" applyFont="1" applyFill="1" applyAlignment="1">
      <alignment horizontal="left" vertical="center"/>
    </xf>
    <xf numFmtId="0" fontId="7" fillId="5" borderId="0" xfId="2" applyFont="1" applyFill="1" applyAlignment="1">
      <alignment horizontal="left" vertical="center"/>
    </xf>
    <xf numFmtId="0" fontId="0" fillId="5" borderId="5" xfId="2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6" fillId="5" borderId="3" xfId="2" applyFont="1" applyFill="1" applyBorder="1" applyAlignment="1">
      <alignment horizontal="left" vertical="center" wrapText="1"/>
    </xf>
    <xf numFmtId="0" fontId="0" fillId="0" borderId="3" xfId="2" applyFont="1" applyBorder="1" applyAlignment="1">
      <alignment horizontal="left" vertical="center" wrapText="1"/>
    </xf>
    <xf numFmtId="0" fontId="8" fillId="4" borderId="3" xfId="2" applyFont="1" applyFill="1" applyBorder="1" applyAlignment="1">
      <alignment horizontal="left" vertical="center" wrapText="1"/>
    </xf>
    <xf numFmtId="0" fontId="0" fillId="5" borderId="0" xfId="2" applyFont="1" applyFill="1" applyAlignment="1">
      <alignment horizontal="center" vertical="center"/>
    </xf>
    <xf numFmtId="0" fontId="6" fillId="0" borderId="3" xfId="2" applyFont="1" applyBorder="1" applyAlignment="1">
      <alignment horizontal="left"/>
    </xf>
    <xf numFmtId="10" fontId="6" fillId="2" borderId="3" xfId="2" applyNumberFormat="1" applyFont="1" applyFill="1" applyBorder="1" applyAlignment="1" applyProtection="1">
      <alignment horizontal="center"/>
      <protection locked="0"/>
    </xf>
    <xf numFmtId="0" fontId="4" fillId="0" borderId="3" xfId="2" applyFont="1" applyBorder="1" applyAlignment="1">
      <alignment horizontal="center"/>
    </xf>
    <xf numFmtId="0" fontId="5" fillId="0" borderId="1" xfId="3" applyFont="1" applyBorder="1" applyAlignment="1">
      <alignment horizontal="left" vertical="top"/>
    </xf>
    <xf numFmtId="164" fontId="6" fillId="3" borderId="2" xfId="4" applyFont="1" applyFill="1" applyBorder="1" applyAlignment="1" applyProtection="1">
      <alignment horizontal="left"/>
      <protection locked="0"/>
    </xf>
    <xf numFmtId="0" fontId="7" fillId="0" borderId="3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3" applyFont="1" applyFill="1" applyBorder="1" applyAlignment="1">
      <alignment horizontal="left" vertical="top"/>
    </xf>
    <xf numFmtId="0" fontId="6" fillId="5" borderId="2" xfId="4" applyNumberFormat="1" applyFont="1" applyFill="1" applyBorder="1" applyAlignment="1" applyProtection="1">
      <alignment horizontal="left" wrapText="1"/>
    </xf>
    <xf numFmtId="0" fontId="6" fillId="0" borderId="3" xfId="2" applyFont="1" applyBorder="1" applyAlignment="1">
      <alignment horizontal="left" wrapText="1"/>
    </xf>
    <xf numFmtId="170" fontId="2" fillId="4" borderId="24" xfId="6" applyFont="1" applyFill="1" applyBorder="1" applyAlignment="1" applyProtection="1">
      <alignment horizontal="center" vertical="center"/>
    </xf>
    <xf numFmtId="169" fontId="21" fillId="0" borderId="0" xfId="5" applyNumberFormat="1" applyFont="1" applyAlignment="1">
      <alignment horizontal="center" vertical="center"/>
    </xf>
    <xf numFmtId="0" fontId="0" fillId="5" borderId="17" xfId="2" applyFont="1" applyFill="1" applyBorder="1" applyAlignment="1">
      <alignment horizontal="left" vertical="center"/>
    </xf>
    <xf numFmtId="0" fontId="7" fillId="5" borderId="12" xfId="2" applyFont="1" applyFill="1" applyBorder="1" applyAlignment="1">
      <alignment horizontal="center" vertical="center"/>
    </xf>
    <xf numFmtId="0" fontId="5" fillId="5" borderId="14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10" xfId="3" applyFont="1" applyFill="1" applyBorder="1" applyAlignment="1">
      <alignment horizontal="left" vertical="center"/>
    </xf>
    <xf numFmtId="0" fontId="13" fillId="5" borderId="13" xfId="4" applyNumberFormat="1" applyFont="1" applyFill="1" applyBorder="1" applyAlignment="1" applyProtection="1">
      <alignment horizontal="left" vertical="center" wrapText="1"/>
    </xf>
    <xf numFmtId="0" fontId="13" fillId="5" borderId="12" xfId="4" applyNumberFormat="1" applyFont="1" applyFill="1" applyBorder="1" applyAlignment="1" applyProtection="1">
      <alignment horizontal="left" vertical="center" wrapText="1"/>
    </xf>
    <xf numFmtId="0" fontId="13" fillId="5" borderId="11" xfId="4" applyNumberFormat="1" applyFont="1" applyFill="1" applyBorder="1" applyAlignment="1" applyProtection="1">
      <alignment horizontal="left" vertical="center" wrapText="1"/>
    </xf>
    <xf numFmtId="0" fontId="20" fillId="0" borderId="19" xfId="5" applyFont="1" applyBorder="1" applyAlignment="1">
      <alignment horizontal="center" vertical="center" wrapText="1"/>
    </xf>
    <xf numFmtId="0" fontId="20" fillId="0" borderId="19" xfId="5" applyFont="1" applyBorder="1" applyAlignment="1">
      <alignment horizontal="left" vertical="center" wrapText="1"/>
    </xf>
    <xf numFmtId="170" fontId="5" fillId="0" borderId="19" xfId="6" applyFont="1" applyFill="1" applyBorder="1" applyAlignment="1" applyProtection="1">
      <alignment horizontal="center" vertical="center" wrapText="1"/>
    </xf>
    <xf numFmtId="171" fontId="5" fillId="0" borderId="19" xfId="1" applyNumberFormat="1" applyFont="1" applyFill="1" applyBorder="1" applyAlignment="1" applyProtection="1">
      <alignment horizontal="center" vertical="center"/>
    </xf>
    <xf numFmtId="0" fontId="0" fillId="5" borderId="13" xfId="2" applyFont="1" applyFill="1" applyBorder="1" applyAlignment="1">
      <alignment horizontal="left" vertical="center" wrapText="1"/>
    </xf>
    <xf numFmtId="0" fontId="0" fillId="5" borderId="11" xfId="2" applyFont="1" applyFill="1" applyBorder="1" applyAlignment="1">
      <alignment horizontal="left" vertical="center" wrapText="1"/>
    </xf>
    <xf numFmtId="0" fontId="2" fillId="17" borderId="22" xfId="0" applyFont="1" applyFill="1" applyBorder="1" applyAlignment="1">
      <alignment horizontal="left" vertical="center" wrapText="1"/>
    </xf>
    <xf numFmtId="0" fontId="2" fillId="17" borderId="23" xfId="0" applyFont="1" applyFill="1" applyBorder="1" applyAlignment="1">
      <alignment horizontal="left" vertical="center" wrapText="1"/>
    </xf>
    <xf numFmtId="0" fontId="2" fillId="17" borderId="24" xfId="0" applyFont="1" applyFill="1" applyBorder="1" applyAlignment="1">
      <alignment horizontal="left" vertical="center" wrapText="1"/>
    </xf>
    <xf numFmtId="0" fontId="0" fillId="5" borderId="12" xfId="2" applyFont="1" applyFill="1" applyBorder="1" applyAlignment="1">
      <alignment horizontal="left" vertical="center" wrapText="1"/>
    </xf>
    <xf numFmtId="165" fontId="0" fillId="5" borderId="12" xfId="0" applyNumberFormat="1" applyFill="1" applyBorder="1" applyAlignment="1">
      <alignment horizontal="left" vertical="center"/>
    </xf>
    <xf numFmtId="0" fontId="15" fillId="15" borderId="19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66" fontId="0" fillId="5" borderId="12" xfId="0" applyNumberForma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4" fillId="0" borderId="19" xfId="0" applyFont="1" applyBorder="1" applyAlignment="1">
      <alignment horizontal="right" vertical="center" wrapText="1"/>
    </xf>
    <xf numFmtId="0" fontId="23" fillId="20" borderId="19" xfId="0" applyFont="1" applyFill="1" applyBorder="1" applyAlignment="1">
      <alignment horizontal="center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5" fillId="22" borderId="19" xfId="0" applyFont="1" applyFill="1" applyBorder="1" applyAlignment="1">
      <alignment vertical="center" wrapText="1"/>
    </xf>
    <xf numFmtId="0" fontId="26" fillId="20" borderId="19" xfId="0" applyFont="1" applyFill="1" applyBorder="1" applyAlignment="1">
      <alignment vertical="center" wrapText="1"/>
    </xf>
    <xf numFmtId="0" fontId="25" fillId="22" borderId="19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30" fillId="5" borderId="14" xfId="2" applyFont="1" applyFill="1" applyBorder="1" applyAlignment="1">
      <alignment horizontal="center" vertical="top" wrapText="1"/>
    </xf>
    <xf numFmtId="0" fontId="30" fillId="5" borderId="0" xfId="2" applyFont="1" applyFill="1" applyAlignment="1">
      <alignment horizontal="center" vertical="top" wrapText="1"/>
    </xf>
    <xf numFmtId="0" fontId="28" fillId="5" borderId="13" xfId="2" applyFont="1" applyFill="1" applyBorder="1" applyAlignment="1">
      <alignment horizontal="center" vertical="center" wrapText="1"/>
    </xf>
    <xf numFmtId="0" fontId="28" fillId="5" borderId="12" xfId="2" applyFont="1" applyFill="1" applyBorder="1" applyAlignment="1">
      <alignment horizontal="center" vertical="center" wrapText="1"/>
    </xf>
    <xf numFmtId="0" fontId="30" fillId="5" borderId="10" xfId="2" applyFont="1" applyFill="1" applyBorder="1" applyAlignment="1">
      <alignment horizontal="center" vertical="top" wrapText="1"/>
    </xf>
    <xf numFmtId="0" fontId="5" fillId="5" borderId="14" xfId="3" applyFont="1" applyFill="1" applyBorder="1" applyAlignment="1">
      <alignment horizontal="center" vertical="top"/>
    </xf>
    <xf numFmtId="0" fontId="5" fillId="5" borderId="0" xfId="3" applyFont="1" applyFill="1" applyAlignment="1">
      <alignment horizontal="center" vertical="top"/>
    </xf>
    <xf numFmtId="0" fontId="5" fillId="5" borderId="10" xfId="3" applyFont="1" applyFill="1" applyBorder="1" applyAlignment="1">
      <alignment horizontal="center" vertical="top"/>
    </xf>
    <xf numFmtId="0" fontId="29" fillId="5" borderId="25" xfId="4" applyNumberFormat="1" applyFont="1" applyFill="1" applyBorder="1" applyAlignment="1" applyProtection="1">
      <alignment horizontal="left" vertical="top" wrapText="1"/>
    </xf>
    <xf numFmtId="0" fontId="29" fillId="5" borderId="4" xfId="4" applyNumberFormat="1" applyFont="1" applyFill="1" applyBorder="1" applyAlignment="1" applyProtection="1">
      <alignment horizontal="left" vertical="top" wrapText="1"/>
    </xf>
    <xf numFmtId="0" fontId="29" fillId="5" borderId="26" xfId="4" applyNumberFormat="1" applyFont="1" applyFill="1" applyBorder="1" applyAlignment="1" applyProtection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8" fillId="5" borderId="11" xfId="2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wrapText="1"/>
    </xf>
    <xf numFmtId="0" fontId="25" fillId="22" borderId="15" xfId="0" applyFont="1" applyFill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0" fillId="23" borderId="19" xfId="0" applyFill="1" applyBorder="1" applyAlignment="1">
      <alignment horizontal="center"/>
    </xf>
  </cellXfs>
  <cellStyles count="8">
    <cellStyle name="Moeda_Composicao BDI v2.1" xfId="4" xr:uid="{77E6601F-97A9-4825-9466-8DA052584CDF}"/>
    <cellStyle name="Normal" xfId="0" builtinId="0"/>
    <cellStyle name="Normal 2" xfId="2" xr:uid="{3FE8E9BA-E88B-410F-AAEC-2B610338A376}"/>
    <cellStyle name="Normal 3" xfId="5" xr:uid="{DB485E2D-25B6-4E75-981B-8CC174FAE600}"/>
    <cellStyle name="Normal_FICHA DE VERIFICAÇÃO PRELIMINAR - Plano R" xfId="3" xr:uid="{44D01A67-047D-449D-8928-C3603CE7E120}"/>
    <cellStyle name="Porcentagem 2" xfId="7" xr:uid="{1024FC5D-2FF1-48D8-A15F-35E89DEDA41C}"/>
    <cellStyle name="Vírgula" xfId="1" builtinId="3"/>
    <cellStyle name="Vírgula 2" xfId="6" xr:uid="{41EF5ADF-E518-4D51-9D78-6981B4CDB70A}"/>
  </cellStyles>
  <dxfs count="41"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59</xdr:row>
      <xdr:rowOff>161925</xdr:rowOff>
    </xdr:from>
    <xdr:to>
      <xdr:col>8</xdr:col>
      <xdr:colOff>848692</xdr:colOff>
      <xdr:row>84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3CC7E-7392-08E8-8C2B-03B06DAFD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4" y="18935700"/>
          <a:ext cx="8163893" cy="46291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40</xdr:row>
          <xdr:rowOff>47625</xdr:rowOff>
        </xdr:from>
        <xdr:to>
          <xdr:col>8</xdr:col>
          <xdr:colOff>878687</xdr:colOff>
          <xdr:row>59</xdr:row>
          <xdr:rowOff>28575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ACED483D-C431-0098-5608-EE81D72F8A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00100" y="14878050"/>
              <a:ext cx="8317712" cy="3924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AVIMENTA&#199;&#195;O%202025%20-%20400%20MIL/FINAL/Pavimenta&#231;&#227;o%202%20S&#227;o%20Jo&#227;o%20da%20Lagoa%20MG.xls" TargetMode="External"/><Relationship Id="rId2" Type="http://schemas.openxmlformats.org/officeDocument/2006/relationships/externalLinkPath" Target="file:///D:\PREFEITURA\PAVIMENTA&#199;&#195;O%202025%20-%20400%20MIL\FINAL\Pavimenta&#231;&#227;o%202%20S&#227;o%20Jo&#227;o%20da%20Lagoa%20MG.xls" TargetMode="External"/><Relationship Id="rId1" Type="http://schemas.openxmlformats.org/officeDocument/2006/relationships/externalLinkPath" Target="/PREFEITURA/PAVIMENTA&#199;&#195;O%202025%20-%20400%20MIL/FINAL/Pavimenta&#231;&#227;o%202%20S&#227;o%20Jo&#227;o%20da%20Lagoa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(SELECIONAR)</v>
          </cell>
        </row>
        <row r="5">
          <cell r="F5" t="str">
            <v>Prefeitura Municipal de São João da Lagoa</v>
          </cell>
        </row>
        <row r="6">
          <cell r="F6" t="str">
            <v>São João da Lagoa  MG</v>
          </cell>
        </row>
        <row r="16">
          <cell r="F16" t="str">
            <v xml:space="preserve">EXECUÇÃO DE PAVIMENTAÇÃO EM BLOCO SEXTAVADO DE CONCRETO DE VIAS URBANAS E RURAIS NO MUNICÍPIO DE SÃO JOÃO DA LAGOA/MG </v>
          </cell>
        </row>
        <row r="17">
          <cell r="F17" t="str">
            <v xml:space="preserve">EXECUÇÃO DE PAVIMENTAÇÃO EM BLOCO SEXTAVADO DE CONCRETO DE VIAS URBANAS E RURAIS NO MUNICÍPIO DE SÃO JOÃO DA LAGOA/MG </v>
          </cell>
        </row>
        <row r="18">
          <cell r="F18" t="str">
            <v>DESONERADO</v>
          </cell>
        </row>
        <row r="22">
          <cell r="F22" t="str">
            <v>LEONARDO PETERSON AMARAL LIMA</v>
          </cell>
        </row>
        <row r="23">
          <cell r="F23" t="str">
            <v>331.073/D</v>
          </cell>
        </row>
        <row r="24">
          <cell r="F24" t="str">
            <v>MG20253837048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>
        <row r="7">
          <cell r="AF7" t="b">
            <v>1</v>
          </cell>
        </row>
      </sheetData>
      <sheetData sheetId="5">
        <row r="15">
          <cell r="M15">
            <v>1</v>
          </cell>
          <cell r="Q15">
            <v>104822.83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 t="str">
            <v/>
          </cell>
        </row>
        <row r="23">
          <cell r="M23">
            <v>4</v>
          </cell>
        </row>
        <row r="24">
          <cell r="M24" t="str">
            <v/>
          </cell>
        </row>
        <row r="25">
          <cell r="M25">
            <v>5</v>
          </cell>
        </row>
        <row r="26">
          <cell r="M26">
            <v>5</v>
          </cell>
        </row>
      </sheetData>
      <sheetData sheetId="6">
        <row r="15">
          <cell r="B15" t="str">
            <v>1.Administração Local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0994-C249-443D-8B26-62C364C4E26F}">
  <dimension ref="A1:L51"/>
  <sheetViews>
    <sheetView topLeftCell="A24" workbookViewId="0">
      <selection activeCell="R37" sqref="R37"/>
    </sheetView>
  </sheetViews>
  <sheetFormatPr defaultRowHeight="15" x14ac:dyDescent="0.25"/>
  <cols>
    <col min="1" max="1" width="2.7109375" customWidth="1"/>
    <col min="2" max="7" width="10.7109375" customWidth="1"/>
    <col min="8" max="8" width="12.85546875" customWidth="1"/>
    <col min="9" max="9" width="7.85546875" customWidth="1"/>
    <col min="10" max="11" width="10.7109375" customWidth="1"/>
    <col min="12" max="12" width="3.7109375" customWidth="1"/>
  </cols>
  <sheetData>
    <row r="1" spans="1:12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.75" x14ac:dyDescent="0.25">
      <c r="A2" s="23"/>
      <c r="B2" s="10"/>
      <c r="C2" s="10"/>
      <c r="D2" s="10"/>
      <c r="E2" s="10"/>
      <c r="F2" s="10"/>
      <c r="G2" s="18" t="str">
        <f>"Quadro de Composição do BDI"</f>
        <v>Quadro de Composição do BDI</v>
      </c>
      <c r="H2" s="10"/>
      <c r="I2" s="10"/>
      <c r="J2" s="221" t="s">
        <v>0</v>
      </c>
      <c r="K2" s="221"/>
      <c r="L2" s="20"/>
    </row>
    <row r="3" spans="1:12" x14ac:dyDescent="0.25">
      <c r="A3" s="23"/>
      <c r="B3" s="10"/>
      <c r="C3" s="10"/>
      <c r="D3" s="10"/>
      <c r="E3" s="10"/>
      <c r="F3" s="10"/>
      <c r="G3" s="10"/>
      <c r="H3" s="10"/>
      <c r="I3" s="10"/>
      <c r="J3" s="222" t="s">
        <v>1</v>
      </c>
      <c r="K3" s="222"/>
      <c r="L3" s="20"/>
    </row>
    <row r="4" spans="1:12" x14ac:dyDescent="0.2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20"/>
    </row>
    <row r="5" spans="1:12" x14ac:dyDescent="0.25">
      <c r="A5" s="23"/>
      <c r="B5" s="178" t="s">
        <v>2</v>
      </c>
      <c r="C5" s="179"/>
      <c r="D5" s="179"/>
      <c r="E5" s="179"/>
      <c r="F5" s="179"/>
      <c r="G5" s="179"/>
      <c r="H5" s="179"/>
      <c r="I5" s="179"/>
      <c r="J5" s="179"/>
      <c r="K5" s="183"/>
      <c r="L5" s="20"/>
    </row>
    <row r="6" spans="1:12" ht="15" customHeight="1" x14ac:dyDescent="0.25">
      <c r="A6" s="23"/>
      <c r="B6" s="181" t="s">
        <v>84</v>
      </c>
      <c r="C6" s="182"/>
      <c r="D6" s="182"/>
      <c r="E6" s="182"/>
      <c r="F6" s="182"/>
      <c r="G6" s="182"/>
      <c r="H6" s="182"/>
      <c r="I6" s="182"/>
      <c r="J6" s="182"/>
      <c r="K6" s="200"/>
      <c r="L6" s="20"/>
    </row>
    <row r="7" spans="1:12" x14ac:dyDescent="0.25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x14ac:dyDescent="0.25">
      <c r="A8" s="23"/>
      <c r="B8" s="223" t="s">
        <v>42</v>
      </c>
      <c r="C8" s="223"/>
      <c r="D8" s="223"/>
      <c r="E8" s="223"/>
      <c r="F8" s="223"/>
      <c r="G8" s="223"/>
      <c r="H8" s="223"/>
      <c r="I8" s="223"/>
      <c r="J8" s="223"/>
      <c r="K8" s="223"/>
      <c r="L8" s="20"/>
    </row>
    <row r="9" spans="1:12" ht="27.75" customHeight="1" x14ac:dyDescent="0.25">
      <c r="A9" s="23"/>
      <c r="B9" s="224" t="str">
        <f>ORÇAMENTO!E5</f>
        <v>RECAPEAMENTO ASFÁLTICO EM CBUQ EM DIVERSAS VIAS URBANAS DO MUNICÍPIO DE SÃO JOÃO DA LAGOA/MG</v>
      </c>
      <c r="C9" s="224"/>
      <c r="D9" s="224"/>
      <c r="E9" s="224"/>
      <c r="F9" s="224"/>
      <c r="G9" s="224"/>
      <c r="H9" s="224"/>
      <c r="I9" s="224"/>
      <c r="J9" s="224"/>
      <c r="K9" s="224"/>
      <c r="L9" s="20"/>
    </row>
    <row r="10" spans="1:12" x14ac:dyDescent="0.25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1:12" x14ac:dyDescent="0.25">
      <c r="A11" s="23"/>
      <c r="B11" s="225" t="s">
        <v>3</v>
      </c>
      <c r="C11" s="225"/>
      <c r="D11" s="225"/>
      <c r="E11" s="225"/>
      <c r="F11" s="225"/>
      <c r="G11" s="225"/>
      <c r="H11" s="225"/>
      <c r="I11" s="225"/>
      <c r="J11" s="215">
        <v>1</v>
      </c>
      <c r="K11" s="215"/>
      <c r="L11" s="20"/>
    </row>
    <row r="12" spans="1:12" x14ac:dyDescent="0.25">
      <c r="A12" s="23"/>
      <c r="B12" s="214" t="s">
        <v>4</v>
      </c>
      <c r="C12" s="214"/>
      <c r="D12" s="214"/>
      <c r="E12" s="214"/>
      <c r="F12" s="214"/>
      <c r="G12" s="214"/>
      <c r="H12" s="214"/>
      <c r="I12" s="214"/>
      <c r="J12" s="215">
        <v>0.05</v>
      </c>
      <c r="K12" s="215"/>
      <c r="L12" s="20"/>
    </row>
    <row r="13" spans="1:12" x14ac:dyDescent="0.25">
      <c r="A13" s="2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0"/>
    </row>
    <row r="14" spans="1:12" ht="15.75" x14ac:dyDescent="0.25">
      <c r="A14" s="23"/>
      <c r="B14" s="216" t="s">
        <v>5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0"/>
    </row>
    <row r="15" spans="1:12" x14ac:dyDescent="0.25">
      <c r="A15" s="2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0"/>
    </row>
    <row r="16" spans="1:12" x14ac:dyDescent="0.25">
      <c r="A16" s="23"/>
      <c r="B16" s="217" t="s">
        <v>6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0"/>
    </row>
    <row r="17" spans="1:12" x14ac:dyDescent="0.25">
      <c r="A17" s="23"/>
      <c r="B17" s="218" t="s">
        <v>116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0"/>
    </row>
    <row r="18" spans="1:12" x14ac:dyDescent="0.25">
      <c r="A18" s="2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0"/>
    </row>
    <row r="19" spans="1:12" x14ac:dyDescent="0.25">
      <c r="A19" s="23"/>
      <c r="B19" s="219" t="s">
        <v>7</v>
      </c>
      <c r="C19" s="219"/>
      <c r="D19" s="219"/>
      <c r="E19" s="219"/>
      <c r="F19" s="219"/>
      <c r="G19" s="219"/>
      <c r="H19" s="219"/>
      <c r="I19" s="219"/>
      <c r="J19" s="219" t="s">
        <v>8</v>
      </c>
      <c r="K19" s="220" t="s">
        <v>9</v>
      </c>
      <c r="L19" s="20"/>
    </row>
    <row r="20" spans="1:12" x14ac:dyDescent="0.25">
      <c r="A20" s="23"/>
      <c r="B20" s="219"/>
      <c r="C20" s="219"/>
      <c r="D20" s="219"/>
      <c r="E20" s="219"/>
      <c r="F20" s="219"/>
      <c r="G20" s="219"/>
      <c r="H20" s="219"/>
      <c r="I20" s="219"/>
      <c r="J20" s="219"/>
      <c r="K20" s="220"/>
      <c r="L20" s="20"/>
    </row>
    <row r="21" spans="1:12" ht="15" customHeight="1" x14ac:dyDescent="0.25">
      <c r="A21" s="23"/>
      <c r="B21" s="211" t="s">
        <v>31</v>
      </c>
      <c r="C21" s="211"/>
      <c r="D21" s="211"/>
      <c r="E21" s="211"/>
      <c r="F21" s="211"/>
      <c r="G21" s="211"/>
      <c r="H21" s="211"/>
      <c r="I21" s="211"/>
      <c r="J21" s="1" t="s">
        <v>32</v>
      </c>
      <c r="K21" s="2">
        <v>3.7999999999999999E-2</v>
      </c>
      <c r="L21" s="20"/>
    </row>
    <row r="22" spans="1:12" ht="15" customHeight="1" x14ac:dyDescent="0.25">
      <c r="A22" s="23"/>
      <c r="B22" s="211" t="s">
        <v>33</v>
      </c>
      <c r="C22" s="211"/>
      <c r="D22" s="211"/>
      <c r="E22" s="211"/>
      <c r="F22" s="211"/>
      <c r="G22" s="211"/>
      <c r="H22" s="211"/>
      <c r="I22" s="211"/>
      <c r="J22" s="1" t="s">
        <v>34</v>
      </c>
      <c r="K22" s="2">
        <v>3.2000000000000002E-3</v>
      </c>
      <c r="L22" s="20"/>
    </row>
    <row r="23" spans="1:12" x14ac:dyDescent="0.25">
      <c r="A23" s="23"/>
      <c r="B23" s="211" t="s">
        <v>35</v>
      </c>
      <c r="C23" s="211"/>
      <c r="D23" s="211"/>
      <c r="E23" s="211"/>
      <c r="F23" s="211"/>
      <c r="G23" s="211"/>
      <c r="H23" s="211"/>
      <c r="I23" s="211"/>
      <c r="J23" s="1" t="s">
        <v>36</v>
      </c>
      <c r="K23" s="2">
        <v>5.0000000000000001E-3</v>
      </c>
      <c r="L23" s="20"/>
    </row>
    <row r="24" spans="1:12" x14ac:dyDescent="0.25">
      <c r="A24" s="23"/>
      <c r="B24" s="211" t="s">
        <v>37</v>
      </c>
      <c r="C24" s="211"/>
      <c r="D24" s="211"/>
      <c r="E24" s="211"/>
      <c r="F24" s="211"/>
      <c r="G24" s="211"/>
      <c r="H24" s="211"/>
      <c r="I24" s="211"/>
      <c r="J24" s="1" t="s">
        <v>38</v>
      </c>
      <c r="K24" s="2">
        <v>1.0200000000000001E-2</v>
      </c>
      <c r="L24" s="20"/>
    </row>
    <row r="25" spans="1:12" ht="15" customHeight="1" x14ac:dyDescent="0.25">
      <c r="A25" s="23"/>
      <c r="B25" s="211" t="s">
        <v>39</v>
      </c>
      <c r="C25" s="211"/>
      <c r="D25" s="211"/>
      <c r="E25" s="211"/>
      <c r="F25" s="211"/>
      <c r="G25" s="211"/>
      <c r="H25" s="211"/>
      <c r="I25" s="211"/>
      <c r="J25" s="1" t="s">
        <v>40</v>
      </c>
      <c r="K25" s="2">
        <v>6.6400000000000001E-2</v>
      </c>
      <c r="L25" s="20"/>
    </row>
    <row r="26" spans="1:12" ht="15" customHeight="1" x14ac:dyDescent="0.25">
      <c r="A26" s="23"/>
      <c r="B26" s="211" t="s">
        <v>10</v>
      </c>
      <c r="C26" s="211"/>
      <c r="D26" s="211"/>
      <c r="E26" s="211"/>
      <c r="F26" s="211"/>
      <c r="G26" s="211"/>
      <c r="H26" s="211"/>
      <c r="I26" s="211"/>
      <c r="J26" s="1" t="s">
        <v>11</v>
      </c>
      <c r="K26" s="2">
        <v>3.6499999999999998E-2</v>
      </c>
      <c r="L26" s="20"/>
    </row>
    <row r="27" spans="1:12" ht="15" customHeight="1" x14ac:dyDescent="0.25">
      <c r="A27" s="23"/>
      <c r="B27" s="211" t="s">
        <v>12</v>
      </c>
      <c r="C27" s="211"/>
      <c r="D27" s="211"/>
      <c r="E27" s="211"/>
      <c r="F27" s="211"/>
      <c r="G27" s="211"/>
      <c r="H27" s="211"/>
      <c r="I27" s="211"/>
      <c r="J27" s="1" t="s">
        <v>13</v>
      </c>
      <c r="K27" s="3">
        <v>0.05</v>
      </c>
      <c r="L27" s="20"/>
    </row>
    <row r="28" spans="1:12" ht="15" customHeight="1" x14ac:dyDescent="0.25">
      <c r="A28" s="23"/>
      <c r="B28" s="211" t="s">
        <v>14</v>
      </c>
      <c r="C28" s="211"/>
      <c r="D28" s="211"/>
      <c r="E28" s="211"/>
      <c r="F28" s="211"/>
      <c r="G28" s="211"/>
      <c r="H28" s="211"/>
      <c r="I28" s="211"/>
      <c r="J28" s="1" t="s">
        <v>15</v>
      </c>
      <c r="K28" s="3">
        <v>3.6000000000000004E-2</v>
      </c>
      <c r="L28" s="20"/>
    </row>
    <row r="29" spans="1:12" ht="15" customHeight="1" x14ac:dyDescent="0.25">
      <c r="A29" s="23"/>
      <c r="B29" s="211" t="s">
        <v>16</v>
      </c>
      <c r="C29" s="211"/>
      <c r="D29" s="211"/>
      <c r="E29" s="211"/>
      <c r="F29" s="211"/>
      <c r="G29" s="211"/>
      <c r="H29" s="211"/>
      <c r="I29" s="211"/>
      <c r="J29" s="4" t="s">
        <v>17</v>
      </c>
      <c r="K29" s="3">
        <v>0.2422</v>
      </c>
      <c r="L29" s="20"/>
    </row>
    <row r="30" spans="1:12" ht="15" customHeight="1" x14ac:dyDescent="0.25">
      <c r="A30" s="23"/>
      <c r="B30" s="212" t="s">
        <v>18</v>
      </c>
      <c r="C30" s="212"/>
      <c r="D30" s="212"/>
      <c r="E30" s="212"/>
      <c r="F30" s="212"/>
      <c r="G30" s="212"/>
      <c r="H30" s="212"/>
      <c r="I30" s="212"/>
      <c r="J30" s="5" t="s">
        <v>19</v>
      </c>
      <c r="K30" s="6">
        <v>0.28439999999999999</v>
      </c>
      <c r="L30" s="20"/>
    </row>
    <row r="31" spans="1:12" x14ac:dyDescent="0.25">
      <c r="A31" s="23"/>
      <c r="B31" s="213" t="s">
        <v>20</v>
      </c>
      <c r="C31" s="213"/>
      <c r="D31" s="213"/>
      <c r="E31" s="213"/>
      <c r="F31" s="213"/>
      <c r="G31" s="213"/>
      <c r="H31" s="213"/>
      <c r="I31" s="213"/>
      <c r="J31" s="213"/>
      <c r="K31" s="213"/>
      <c r="L31" s="20"/>
    </row>
    <row r="32" spans="1:12" ht="15.75" x14ac:dyDescent="0.25">
      <c r="A32" s="23"/>
      <c r="B32" s="8"/>
      <c r="C32" s="8"/>
      <c r="D32" s="8"/>
      <c r="E32" s="206" t="s">
        <v>21</v>
      </c>
      <c r="F32" s="207" t="s">
        <v>41</v>
      </c>
      <c r="G32" s="207"/>
      <c r="H32" s="207"/>
      <c r="I32" s="208" t="s">
        <v>22</v>
      </c>
      <c r="J32" s="8"/>
      <c r="K32" s="8"/>
      <c r="L32" s="20"/>
    </row>
    <row r="33" spans="1:12" ht="15.75" x14ac:dyDescent="0.25">
      <c r="A33" s="23"/>
      <c r="B33" s="8"/>
      <c r="C33" s="8"/>
      <c r="D33" s="8"/>
      <c r="E33" s="206"/>
      <c r="F33" s="209" t="s">
        <v>23</v>
      </c>
      <c r="G33" s="209"/>
      <c r="H33" s="209"/>
      <c r="I33" s="208"/>
      <c r="J33" s="8"/>
      <c r="K33" s="8"/>
      <c r="L33" s="20"/>
    </row>
    <row r="34" spans="1:12" x14ac:dyDescent="0.25">
      <c r="A34" s="23"/>
      <c r="B34" s="9"/>
      <c r="C34" s="9"/>
      <c r="D34" s="9"/>
      <c r="E34" s="9"/>
      <c r="F34" s="9"/>
      <c r="G34" s="9"/>
      <c r="H34" s="9"/>
      <c r="I34" s="9"/>
      <c r="J34" s="9"/>
      <c r="K34" s="9"/>
      <c r="L34" s="20"/>
    </row>
    <row r="35" spans="1:12" ht="30.75" customHeight="1" x14ac:dyDescent="0.25">
      <c r="A35" s="23"/>
      <c r="B35" s="210" t="s">
        <v>43</v>
      </c>
      <c r="C35" s="210"/>
      <c r="D35" s="210"/>
      <c r="E35" s="210"/>
      <c r="F35" s="210"/>
      <c r="G35" s="210"/>
      <c r="H35" s="210"/>
      <c r="I35" s="210"/>
      <c r="J35" s="210"/>
      <c r="K35" s="210"/>
      <c r="L35" s="20"/>
    </row>
    <row r="36" spans="1:12" x14ac:dyDescent="0.25">
      <c r="A36" s="2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0"/>
    </row>
    <row r="37" spans="1:12" ht="32.25" customHeight="1" x14ac:dyDescent="0.25">
      <c r="A37" s="23"/>
      <c r="B37" s="210" t="s">
        <v>80</v>
      </c>
      <c r="C37" s="210"/>
      <c r="D37" s="210"/>
      <c r="E37" s="210"/>
      <c r="F37" s="210"/>
      <c r="G37" s="210"/>
      <c r="H37" s="210"/>
      <c r="I37" s="210"/>
      <c r="J37" s="210"/>
      <c r="K37" s="210"/>
      <c r="L37" s="20"/>
    </row>
    <row r="38" spans="1:12" x14ac:dyDescent="0.25">
      <c r="A38" s="2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0"/>
    </row>
    <row r="39" spans="1:12" x14ac:dyDescent="0.25">
      <c r="A39" s="23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20"/>
    </row>
    <row r="40" spans="1:12" x14ac:dyDescent="0.25">
      <c r="A40" s="23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"/>
    </row>
    <row r="41" spans="1:12" x14ac:dyDescent="0.25">
      <c r="A41" s="23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0"/>
    </row>
    <row r="42" spans="1:12" x14ac:dyDescent="0.25">
      <c r="A42" s="23"/>
      <c r="B42" s="202" t="s">
        <v>59</v>
      </c>
      <c r="C42" s="202"/>
      <c r="D42" s="202"/>
      <c r="E42" s="202"/>
      <c r="F42" s="10"/>
      <c r="G42" s="10"/>
      <c r="H42" s="192" t="s">
        <v>176</v>
      </c>
      <c r="I42" s="192"/>
      <c r="J42" s="192"/>
      <c r="K42" s="192"/>
      <c r="L42" s="20"/>
    </row>
    <row r="43" spans="1:12" x14ac:dyDescent="0.25">
      <c r="A43" s="23"/>
      <c r="B43" s="203" t="s">
        <v>25</v>
      </c>
      <c r="C43" s="203"/>
      <c r="D43" s="203"/>
      <c r="E43" s="203"/>
      <c r="F43" s="10"/>
      <c r="G43" s="11"/>
      <c r="H43" s="12" t="s">
        <v>26</v>
      </c>
      <c r="I43" s="13"/>
      <c r="J43" s="13"/>
      <c r="K43" s="13"/>
      <c r="L43" s="20"/>
    </row>
    <row r="44" spans="1:12" x14ac:dyDescent="0.25">
      <c r="A44" s="2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0"/>
    </row>
    <row r="45" spans="1:12" x14ac:dyDescent="0.25">
      <c r="A45" s="2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0"/>
    </row>
    <row r="46" spans="1:12" ht="21" customHeight="1" x14ac:dyDescent="0.25">
      <c r="A46" s="23"/>
      <c r="B46" s="204"/>
      <c r="C46" s="204"/>
      <c r="D46" s="204"/>
      <c r="E46" s="204"/>
      <c r="F46" s="14"/>
      <c r="G46" s="10"/>
      <c r="H46" s="10"/>
      <c r="I46" s="10"/>
      <c r="J46" s="10"/>
      <c r="K46" s="10"/>
      <c r="L46" s="20"/>
    </row>
    <row r="47" spans="1:12" x14ac:dyDescent="0.25">
      <c r="A47" s="23"/>
      <c r="B47" s="205" t="s">
        <v>27</v>
      </c>
      <c r="C47" s="205"/>
      <c r="D47" s="205"/>
      <c r="E47" s="205"/>
      <c r="F47" s="10"/>
      <c r="G47" s="10"/>
      <c r="H47" s="10"/>
      <c r="I47" s="10"/>
      <c r="J47" s="10"/>
      <c r="K47" s="10"/>
      <c r="L47" s="20"/>
    </row>
    <row r="48" spans="1:12" x14ac:dyDescent="0.25">
      <c r="A48" s="23"/>
      <c r="B48" s="131" t="s">
        <v>28</v>
      </c>
      <c r="C48" s="198" t="s">
        <v>114</v>
      </c>
      <c r="D48" s="198"/>
      <c r="E48" s="198"/>
      <c r="F48" s="14"/>
      <c r="G48" s="10"/>
      <c r="H48" s="10"/>
      <c r="I48" s="10"/>
      <c r="J48" s="10"/>
      <c r="K48" s="10"/>
      <c r="L48" s="20"/>
    </row>
    <row r="49" spans="1:12" x14ac:dyDescent="0.25">
      <c r="A49" s="23"/>
      <c r="B49" s="131" t="s">
        <v>29</v>
      </c>
      <c r="C49" s="199" t="s">
        <v>115</v>
      </c>
      <c r="D49" s="199"/>
      <c r="E49" s="199"/>
      <c r="F49" s="14"/>
      <c r="G49" s="10"/>
      <c r="H49" s="10"/>
      <c r="I49" s="10"/>
      <c r="J49" s="10"/>
      <c r="K49" s="10"/>
      <c r="L49" s="20"/>
    </row>
    <row r="50" spans="1:12" x14ac:dyDescent="0.25">
      <c r="A50" s="23"/>
      <c r="B50" s="131" t="s">
        <v>30</v>
      </c>
      <c r="C50" s="199" t="s">
        <v>195</v>
      </c>
      <c r="D50" s="199"/>
      <c r="E50" s="199"/>
      <c r="F50" s="14"/>
      <c r="G50" s="10"/>
      <c r="H50" s="10"/>
      <c r="I50" s="10"/>
      <c r="J50" s="10"/>
      <c r="K50" s="10"/>
      <c r="L50" s="20"/>
    </row>
    <row r="51" spans="1:12" x14ac:dyDescent="0.25">
      <c r="A51" s="2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2"/>
    </row>
  </sheetData>
  <mergeCells count="42">
    <mergeCell ref="J2:K2"/>
    <mergeCell ref="J3:K3"/>
    <mergeCell ref="B8:K8"/>
    <mergeCell ref="B9:K9"/>
    <mergeCell ref="B11:I11"/>
    <mergeCell ref="J11:K11"/>
    <mergeCell ref="B12:I12"/>
    <mergeCell ref="J12:K12"/>
    <mergeCell ref="B26:I26"/>
    <mergeCell ref="B14:K14"/>
    <mergeCell ref="B16:K16"/>
    <mergeCell ref="B17:K17"/>
    <mergeCell ref="B19:I20"/>
    <mergeCell ref="J19:J20"/>
    <mergeCell ref="K19:K20"/>
    <mergeCell ref="B21:I21"/>
    <mergeCell ref="B22:I22"/>
    <mergeCell ref="B23:I23"/>
    <mergeCell ref="B24:I24"/>
    <mergeCell ref="B25:I25"/>
    <mergeCell ref="B37:K37"/>
    <mergeCell ref="B27:I27"/>
    <mergeCell ref="B28:I28"/>
    <mergeCell ref="B29:I29"/>
    <mergeCell ref="B30:I30"/>
    <mergeCell ref="B31:K31"/>
    <mergeCell ref="C48:E48"/>
    <mergeCell ref="C49:E49"/>
    <mergeCell ref="C50:E50"/>
    <mergeCell ref="B5:K5"/>
    <mergeCell ref="B6:K6"/>
    <mergeCell ref="B40:K40"/>
    <mergeCell ref="B42:E42"/>
    <mergeCell ref="H42:K42"/>
    <mergeCell ref="B43:E43"/>
    <mergeCell ref="B46:E46"/>
    <mergeCell ref="B47:E47"/>
    <mergeCell ref="E32:E33"/>
    <mergeCell ref="F32:H32"/>
    <mergeCell ref="I32:I33"/>
    <mergeCell ref="F33:H33"/>
    <mergeCell ref="B35:K35"/>
  </mergeCells>
  <conditionalFormatting sqref="B30:K30">
    <cfRule type="expression" dxfId="40" priority="3" stopIfTrue="1">
      <formula>DESONERACAO="não"</formula>
    </cfRule>
  </conditionalFormatting>
  <conditionalFormatting sqref="K29">
    <cfRule type="expression" dxfId="39" priority="1" stopIfTrue="1">
      <formula>DESONERACAO="não"</formula>
    </cfRule>
  </conditionalFormatting>
  <dataValidations count="6">
    <dataValidation type="list" allowBlank="1" showErrorMessage="1" sqref="B17:K17" xr:uid="{AB123BEF-C8E2-47E7-8499-E1CC33181B41}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1:K11" xr:uid="{1971DE07-6DAA-41FB-93C4-031D31A52B60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2:K12" xr:uid="{770DE75F-DA5C-4C7D-8085-3F05D32ACB86}">
      <formula1>0</formula1>
      <formula2>0</formula2>
    </dataValidation>
    <dataValidation operator="greaterThanOrEqual" allowBlank="1" showErrorMessage="1" errorTitle="Erro de valores" error="Digite um valor igual a 0% ou 2%." sqref="K28" xr:uid="{417D65F4-73BC-40D6-9CBB-579F2B2883CE}">
      <formula1>0</formula1>
      <formula2>0</formula2>
    </dataValidation>
    <dataValidation type="decimal" allowBlank="1" showErrorMessage="1" errorTitle="Erro de valores" error="Digite um valor maior do que 0." sqref="K27" xr:uid="{78C8F371-C550-4CC2-B666-EB3A88D8DB50}">
      <formula1>0</formula1>
      <formula2>1</formula2>
    </dataValidation>
    <dataValidation type="decimal" allowBlank="1" showErrorMessage="1" errorTitle="Erro de valores" error="Digite um valor entre 0% e 100%" sqref="K21:K26" xr:uid="{0CCD7E94-5E88-40A8-8E11-418F70142F09}">
      <formula1>0</formula1>
      <formula2>1</formula2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99E-EF6E-4914-B784-257BDBE626D4}">
  <dimension ref="A1:P39"/>
  <sheetViews>
    <sheetView tabSelected="1" topLeftCell="A14" workbookViewId="0">
      <selection activeCell="E22" sqref="E22"/>
    </sheetView>
  </sheetViews>
  <sheetFormatPr defaultRowHeight="15" x14ac:dyDescent="0.25"/>
  <cols>
    <col min="1" max="1" width="0.85546875" customWidth="1"/>
    <col min="2" max="2" width="12.7109375" customWidth="1"/>
    <col min="3" max="3" width="15.7109375" customWidth="1"/>
    <col min="4" max="4" width="19" customWidth="1"/>
    <col min="5" max="5" width="65.7109375" customWidth="1"/>
    <col min="6" max="6" width="10.7109375" customWidth="1"/>
    <col min="7" max="9" width="14.7109375" customWidth="1"/>
    <col min="10" max="10" width="18" customWidth="1"/>
    <col min="11" max="11" width="1.28515625" customWidth="1"/>
    <col min="13" max="13" width="11.5703125" bestFit="1" customWidth="1"/>
    <col min="15" max="15" width="11.5703125" bestFit="1" customWidth="1"/>
  </cols>
  <sheetData>
    <row r="1" spans="1:13" ht="4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3" ht="15.75" x14ac:dyDescent="0.25">
      <c r="A2" s="23"/>
      <c r="B2" s="177" t="s">
        <v>44</v>
      </c>
      <c r="C2" s="177"/>
      <c r="D2" s="177"/>
      <c r="E2" s="177"/>
      <c r="F2" s="177"/>
      <c r="G2" s="177"/>
      <c r="H2" s="177"/>
      <c r="I2" s="177"/>
      <c r="J2" s="177"/>
      <c r="K2" s="20"/>
    </row>
    <row r="3" spans="1:13" x14ac:dyDescent="0.25">
      <c r="A3" s="23"/>
      <c r="B3" s="117"/>
      <c r="C3" s="117"/>
      <c r="D3" s="117"/>
      <c r="E3" s="117"/>
      <c r="F3" s="117"/>
      <c r="G3" s="117"/>
      <c r="H3" s="117"/>
      <c r="I3" s="117"/>
      <c r="J3" s="121"/>
      <c r="K3" s="20"/>
    </row>
    <row r="4" spans="1:13" x14ac:dyDescent="0.25">
      <c r="A4" s="23"/>
      <c r="B4" s="178" t="s">
        <v>2</v>
      </c>
      <c r="C4" s="179"/>
      <c r="D4" s="180"/>
      <c r="E4" s="179" t="s">
        <v>42</v>
      </c>
      <c r="F4" s="179"/>
      <c r="G4" s="179"/>
      <c r="H4" s="179"/>
      <c r="I4" s="179"/>
      <c r="J4" s="183"/>
      <c r="K4" s="20"/>
    </row>
    <row r="5" spans="1:13" ht="31.5" customHeight="1" x14ac:dyDescent="0.25">
      <c r="A5" s="23"/>
      <c r="B5" s="181" t="str">
        <f>BDI!B6</f>
        <v>PREFEITURA MUNICIPAL DE SÃO JOÃO DA LAGOA</v>
      </c>
      <c r="C5" s="182"/>
      <c r="D5" s="182"/>
      <c r="E5" s="184" t="s">
        <v>194</v>
      </c>
      <c r="F5" s="185"/>
      <c r="G5" s="185"/>
      <c r="H5" s="185"/>
      <c r="I5" s="185"/>
      <c r="J5" s="186"/>
      <c r="K5" s="20"/>
    </row>
    <row r="6" spans="1:13" x14ac:dyDescent="0.25">
      <c r="A6" s="23"/>
      <c r="B6" s="66"/>
      <c r="C6" s="66"/>
      <c r="D6" s="67"/>
      <c r="E6" s="67"/>
      <c r="F6" s="66"/>
      <c r="G6" s="66"/>
      <c r="H6" s="66"/>
      <c r="I6" s="66"/>
      <c r="J6" s="66"/>
      <c r="K6" s="20"/>
    </row>
    <row r="7" spans="1:13" ht="18" customHeight="1" x14ac:dyDescent="0.25">
      <c r="A7" s="23"/>
      <c r="B7" s="172" t="s">
        <v>86</v>
      </c>
      <c r="C7" s="174"/>
      <c r="D7" s="68" t="s">
        <v>45</v>
      </c>
      <c r="E7" s="172" t="s">
        <v>42</v>
      </c>
      <c r="F7" s="173"/>
      <c r="G7" s="174"/>
      <c r="H7" s="172" t="s">
        <v>60</v>
      </c>
      <c r="I7" s="174"/>
      <c r="J7" s="69" t="s">
        <v>87</v>
      </c>
      <c r="K7" s="20"/>
    </row>
    <row r="8" spans="1:13" ht="44.25" customHeight="1" x14ac:dyDescent="0.25">
      <c r="A8" s="23"/>
      <c r="B8" s="175" t="s">
        <v>165</v>
      </c>
      <c r="C8" s="176"/>
      <c r="D8" s="135" t="s">
        <v>166</v>
      </c>
      <c r="E8" s="169" t="str">
        <f>E5</f>
        <v>RECAPEAMENTO ASFÁLTICO EM CBUQ EM DIVERSAS VIAS URBANAS DO MUNICÍPIO DE SÃO JOÃO DA LAGOA/MG</v>
      </c>
      <c r="F8" s="170"/>
      <c r="G8" s="171"/>
      <c r="H8" s="175" t="s">
        <v>59</v>
      </c>
      <c r="I8" s="176"/>
      <c r="J8" s="127">
        <f>BDI!K30</f>
        <v>0.28439999999999999</v>
      </c>
      <c r="K8" s="20"/>
    </row>
    <row r="9" spans="1:13" x14ac:dyDescent="0.25">
      <c r="A9" s="23"/>
      <c r="B9" s="193"/>
      <c r="C9" s="194"/>
      <c r="D9" s="194"/>
      <c r="E9" s="194"/>
      <c r="F9" s="194"/>
      <c r="G9" s="194"/>
      <c r="H9" s="194"/>
      <c r="I9" s="194"/>
      <c r="J9" s="195"/>
      <c r="K9" s="20"/>
    </row>
    <row r="10" spans="1:13" ht="25.5" x14ac:dyDescent="0.25">
      <c r="A10" s="23"/>
      <c r="B10" s="31" t="s">
        <v>47</v>
      </c>
      <c r="C10" s="31" t="s">
        <v>48</v>
      </c>
      <c r="D10" s="31" t="s">
        <v>49</v>
      </c>
      <c r="E10" s="31" t="s">
        <v>50</v>
      </c>
      <c r="F10" s="32" t="s">
        <v>51</v>
      </c>
      <c r="G10" s="31" t="s">
        <v>52</v>
      </c>
      <c r="H10" s="31" t="str">
        <f>IF(TIPOORCAMENTO="Licitado","","Custo Unitário (sem BDI) (R$)")</f>
        <v>Custo Unitário (sem BDI) (R$)</v>
      </c>
      <c r="I10" s="31" t="s">
        <v>53</v>
      </c>
      <c r="J10" s="31" t="s">
        <v>54</v>
      </c>
      <c r="K10" s="20"/>
    </row>
    <row r="11" spans="1:13" ht="26.25" customHeight="1" x14ac:dyDescent="0.25">
      <c r="A11" s="23"/>
      <c r="B11" s="196" t="str">
        <f>E5</f>
        <v>RECAPEAMENTO ASFÁLTICO EM CBUQ EM DIVERSAS VIAS URBANAS DO MUNICÍPIO DE SÃO JOÃO DA LAGOA/MG</v>
      </c>
      <c r="C11" s="196"/>
      <c r="D11" s="196"/>
      <c r="E11" s="196"/>
      <c r="F11" s="33"/>
      <c r="G11" s="34"/>
      <c r="H11" s="34"/>
      <c r="I11" s="34"/>
      <c r="J11" s="35">
        <f>J12</f>
        <v>502455.72000000003</v>
      </c>
      <c r="K11" s="20"/>
      <c r="M11" s="128"/>
    </row>
    <row r="12" spans="1:13" x14ac:dyDescent="0.25">
      <c r="A12" s="23"/>
      <c r="B12" s="36" t="str">
        <f ca="1">IF(OR($B12=0,$J12=""),"-",CONCATENATE(#REF!&amp;".",IF(AND(#REF!&gt;=2,$B12&gt;=2),#REF!&amp;".",""),IF(AND(#REF!&gt;=3,$B12&gt;=3),#REF!&amp;".",""),IF(AND(#REF!&gt;=4,$B12&gt;=4),#REF!&amp;".",""),IF($B12="S",#REF!&amp;".","")))</f>
        <v>1.</v>
      </c>
      <c r="C12" s="37"/>
      <c r="D12" s="38"/>
      <c r="E12" s="39" t="s">
        <v>112</v>
      </c>
      <c r="F12" s="40"/>
      <c r="G12" s="41"/>
      <c r="H12" s="42"/>
      <c r="I12" s="41">
        <f ca="1">IF($B12="S",ROUND(IF(TIPOORCAMENTO="Proposto",ORÇAMENTO.CustoUnitario*(1+$AF12),ORÇAMENTO.PrecoUnitarioLicitado),15-13*#REF!),0)</f>
        <v>0</v>
      </c>
      <c r="J12" s="43">
        <f>J13+J15+J17+J20+J23</f>
        <v>502455.72000000003</v>
      </c>
      <c r="K12" s="20"/>
    </row>
    <row r="13" spans="1:13" ht="21.75" customHeight="1" x14ac:dyDescent="0.25">
      <c r="A13" s="23"/>
      <c r="B13" s="44" t="str">
        <f ca="1">IF(OR($B13=0,$J13=""),"-",CONCATENATE(#REF!&amp;".",IF(AND(#REF!&gt;=2,$B13&gt;=2),#REF!&amp;".",""),IF(AND(#REF!&gt;=3,$B13&gt;=3),#REF!&amp;".",""),IF(AND(#REF!&gt;=4,$B13&gt;=4),#REF!&amp;".",""),IF($B13="S",#REF!&amp;".","")))</f>
        <v>1.1.</v>
      </c>
      <c r="C13" s="45"/>
      <c r="D13" s="46"/>
      <c r="E13" s="89" t="s">
        <v>88</v>
      </c>
      <c r="F13" s="48"/>
      <c r="G13" s="49"/>
      <c r="H13" s="50"/>
      <c r="I13" s="49"/>
      <c r="J13" s="51">
        <f>SUM(J14:J14)</f>
        <v>1481.25</v>
      </c>
      <c r="K13" s="20"/>
    </row>
    <row r="14" spans="1:13" ht="75" x14ac:dyDescent="0.25">
      <c r="A14" s="23"/>
      <c r="B14" s="52" t="str">
        <f ca="1">IF(OR($B14=0,$J14=""),"-",CONCATENATE(#REF!&amp;".",IF(AND(#REF!&gt;=2,$B14&gt;=2),#REF!&amp;".",""),IF(AND(#REF!&gt;=3,$B14&gt;=3),#REF!&amp;".",""),IF(AND(#REF!&gt;=4,$B14&gt;=4),#REF!&amp;".",""),IF($B14="S",#REF!&amp;".","")))</f>
        <v>1.1.1.</v>
      </c>
      <c r="C14" s="53" t="s">
        <v>97</v>
      </c>
      <c r="D14" s="54" t="s">
        <v>58</v>
      </c>
      <c r="E14" s="118" t="s">
        <v>66</v>
      </c>
      <c r="F14" s="55" t="s">
        <v>78</v>
      </c>
      <c r="G14" s="56">
        <f>'MEMÓRIA DE CÁLCULO'!F13</f>
        <v>1</v>
      </c>
      <c r="H14" s="57">
        <v>1153.26</v>
      </c>
      <c r="I14" s="56">
        <f>ROUND(H14*(1+$J$8),2)</f>
        <v>1481.25</v>
      </c>
      <c r="J14" s="58">
        <f>ROUND(G14*I14,2)</f>
        <v>1481.25</v>
      </c>
      <c r="K14" s="20"/>
    </row>
    <row r="15" spans="1:13" x14ac:dyDescent="0.25">
      <c r="A15" s="23"/>
      <c r="B15" s="44" t="s">
        <v>83</v>
      </c>
      <c r="C15" s="45"/>
      <c r="D15" s="46"/>
      <c r="E15" s="47" t="s">
        <v>174</v>
      </c>
      <c r="F15" s="48"/>
      <c r="G15" s="49"/>
      <c r="H15" s="50"/>
      <c r="I15" s="49"/>
      <c r="J15" s="51">
        <f>SUM(J16:J16)</f>
        <v>14535.8</v>
      </c>
      <c r="K15" s="20"/>
      <c r="M15" s="59"/>
    </row>
    <row r="16" spans="1:13" x14ac:dyDescent="0.25">
      <c r="A16" s="23"/>
      <c r="B16" s="52" t="s">
        <v>85</v>
      </c>
      <c r="C16" s="53" t="s">
        <v>89</v>
      </c>
      <c r="D16" s="54" t="s">
        <v>90</v>
      </c>
      <c r="E16" s="118" t="s">
        <v>91</v>
      </c>
      <c r="F16" s="55" t="s">
        <v>92</v>
      </c>
      <c r="G16" s="56">
        <f>'MEMÓRIA DE CÁLCULO'!F15</f>
        <v>6792.43</v>
      </c>
      <c r="H16" s="57">
        <v>1.67</v>
      </c>
      <c r="I16" s="56">
        <f t="shared" ref="I16:I24" si="0">ROUND(H16*(1+$J$8),2)</f>
        <v>2.14</v>
      </c>
      <c r="J16" s="58">
        <f t="shared" ref="J16:J22" si="1">ROUND(G16*I16,2)</f>
        <v>14535.8</v>
      </c>
      <c r="K16" s="20"/>
      <c r="M16" s="128"/>
    </row>
    <row r="17" spans="1:16" x14ac:dyDescent="0.25">
      <c r="A17" s="23"/>
      <c r="B17" s="44" t="s">
        <v>103</v>
      </c>
      <c r="C17" s="45"/>
      <c r="D17" s="46"/>
      <c r="E17" s="47" t="s">
        <v>193</v>
      </c>
      <c r="F17" s="48"/>
      <c r="G17" s="49"/>
      <c r="H17" s="50"/>
      <c r="I17" s="49"/>
      <c r="J17" s="51">
        <f>SUM(J18:J19)</f>
        <v>21130.699999999997</v>
      </c>
      <c r="K17" s="20"/>
      <c r="M17" s="128"/>
    </row>
    <row r="18" spans="1:16" x14ac:dyDescent="0.25">
      <c r="A18" s="23"/>
      <c r="B18" s="52" t="s">
        <v>105</v>
      </c>
      <c r="C18" s="53" t="s">
        <v>162</v>
      </c>
      <c r="D18" s="54" t="s">
        <v>163</v>
      </c>
      <c r="E18" s="118" t="str">
        <f>COMPOSIÇÃO!C12</f>
        <v>EXECUÇÃO DE PINTURA DE LIGAÇÃO COM EMULSÃO ASFÁLTICA RR-2C.</v>
      </c>
      <c r="F18" s="55" t="s">
        <v>92</v>
      </c>
      <c r="G18" s="56">
        <f>'MEMÓRIA DE CÁLCULO'!F17</f>
        <v>6792.43</v>
      </c>
      <c r="H18" s="57">
        <f>COMPOSIÇÃO!I33</f>
        <v>2.2999999999999998</v>
      </c>
      <c r="I18" s="56">
        <f t="shared" si="0"/>
        <v>2.95</v>
      </c>
      <c r="J18" s="58">
        <f t="shared" si="1"/>
        <v>20037.669999999998</v>
      </c>
      <c r="K18" s="20"/>
    </row>
    <row r="19" spans="1:16" ht="90" x14ac:dyDescent="0.25">
      <c r="A19" s="23"/>
      <c r="B19" s="52" t="s">
        <v>106</v>
      </c>
      <c r="C19" s="53" t="s">
        <v>89</v>
      </c>
      <c r="D19" s="54" t="s">
        <v>99</v>
      </c>
      <c r="E19" s="118" t="s">
        <v>178</v>
      </c>
      <c r="F19" s="55" t="s">
        <v>93</v>
      </c>
      <c r="G19" s="56">
        <f>'MEMÓRIA DE CÁLCULO'!F18</f>
        <v>1518.1000000000001</v>
      </c>
      <c r="H19" s="57">
        <v>0.56000000000000005</v>
      </c>
      <c r="I19" s="56">
        <f t="shared" si="0"/>
        <v>0.72</v>
      </c>
      <c r="J19" s="58">
        <f t="shared" si="1"/>
        <v>1093.03</v>
      </c>
      <c r="K19" s="20"/>
      <c r="N19" s="128"/>
      <c r="P19" s="128"/>
    </row>
    <row r="20" spans="1:16" x14ac:dyDescent="0.25">
      <c r="A20" s="23"/>
      <c r="B20" s="44" t="s">
        <v>188</v>
      </c>
      <c r="C20" s="45"/>
      <c r="D20" s="46"/>
      <c r="E20" s="47" t="s">
        <v>104</v>
      </c>
      <c r="F20" s="48"/>
      <c r="G20" s="49"/>
      <c r="H20" s="50"/>
      <c r="I20" s="49"/>
      <c r="J20" s="51">
        <f>SUM(J21:J22)</f>
        <v>362476.02</v>
      </c>
      <c r="K20" s="20"/>
      <c r="M20" s="128"/>
    </row>
    <row r="21" spans="1:16" ht="60" x14ac:dyDescent="0.25">
      <c r="A21" s="23"/>
      <c r="B21" s="52" t="s">
        <v>189</v>
      </c>
      <c r="C21" s="53" t="s">
        <v>97</v>
      </c>
      <c r="D21" s="54" t="s">
        <v>94</v>
      </c>
      <c r="E21" s="118" t="s">
        <v>95</v>
      </c>
      <c r="F21" s="55" t="s">
        <v>96</v>
      </c>
      <c r="G21" s="56">
        <f>'MEMÓRIA DE CÁLCULO'!F20</f>
        <v>151.06</v>
      </c>
      <c r="H21" s="57">
        <v>1796.47</v>
      </c>
      <c r="I21" s="56">
        <f t="shared" si="0"/>
        <v>2307.39</v>
      </c>
      <c r="J21" s="58">
        <f t="shared" si="1"/>
        <v>348554.33</v>
      </c>
      <c r="K21" s="20"/>
      <c r="O21" s="128"/>
    </row>
    <row r="22" spans="1:16" ht="60" x14ac:dyDescent="0.25">
      <c r="A22" s="23"/>
      <c r="B22" s="52" t="s">
        <v>190</v>
      </c>
      <c r="C22" s="53" t="s">
        <v>89</v>
      </c>
      <c r="D22" s="54" t="s">
        <v>100</v>
      </c>
      <c r="E22" s="118" t="s">
        <v>179</v>
      </c>
      <c r="F22" s="55" t="s">
        <v>98</v>
      </c>
      <c r="G22" s="56">
        <f>'MEMÓRIA DE CÁLCULO'!F21</f>
        <v>10876.32</v>
      </c>
      <c r="H22" s="57">
        <v>1</v>
      </c>
      <c r="I22" s="56">
        <f t="shared" si="0"/>
        <v>1.28</v>
      </c>
      <c r="J22" s="58">
        <f t="shared" si="1"/>
        <v>13921.69</v>
      </c>
      <c r="K22" s="20"/>
    </row>
    <row r="23" spans="1:16" x14ac:dyDescent="0.25">
      <c r="A23" s="23"/>
      <c r="B23" s="44" t="s">
        <v>188</v>
      </c>
      <c r="C23" s="45"/>
      <c r="D23" s="46"/>
      <c r="E23" s="47" t="s">
        <v>191</v>
      </c>
      <c r="F23" s="48"/>
      <c r="G23" s="49"/>
      <c r="H23" s="50"/>
      <c r="I23" s="49"/>
      <c r="J23" s="51">
        <f>SUM(J24)</f>
        <v>102831.95</v>
      </c>
      <c r="K23" s="20"/>
    </row>
    <row r="24" spans="1:16" ht="30" x14ac:dyDescent="0.25">
      <c r="A24" s="23"/>
      <c r="B24" s="52" t="s">
        <v>192</v>
      </c>
      <c r="C24" s="53" t="s">
        <v>89</v>
      </c>
      <c r="D24" s="54" t="s">
        <v>102</v>
      </c>
      <c r="E24" s="118" t="s">
        <v>101</v>
      </c>
      <c r="F24" s="55" t="s">
        <v>79</v>
      </c>
      <c r="G24" s="56">
        <f>'MEMÓRIA DE CÁLCULO'!F23</f>
        <v>2269.52</v>
      </c>
      <c r="H24" s="57">
        <v>35.28</v>
      </c>
      <c r="I24" s="56">
        <f t="shared" si="0"/>
        <v>45.31</v>
      </c>
      <c r="J24" s="58">
        <f t="shared" ref="J24" si="2">ROUND(G24*I24,2)</f>
        <v>102831.95</v>
      </c>
      <c r="K24" s="20"/>
    </row>
    <row r="25" spans="1:16" ht="10.5" customHeight="1" x14ac:dyDescent="0.25">
      <c r="A25" s="23"/>
      <c r="B25" s="28"/>
      <c r="C25" s="29"/>
      <c r="D25" s="29"/>
      <c r="E25" s="29"/>
      <c r="F25" s="29"/>
      <c r="G25" s="29"/>
      <c r="H25" s="29"/>
      <c r="I25" s="29"/>
      <c r="J25" s="30"/>
      <c r="K25" s="20"/>
    </row>
    <row r="26" spans="1:16" x14ac:dyDescent="0.25">
      <c r="A26" s="23"/>
      <c r="B26" s="17"/>
      <c r="C26" s="17"/>
      <c r="D26" s="17"/>
      <c r="E26" s="17"/>
      <c r="F26" s="17"/>
      <c r="G26" s="17"/>
      <c r="H26" s="17"/>
      <c r="I26" s="17"/>
      <c r="J26" s="17"/>
      <c r="K26" s="20"/>
    </row>
    <row r="27" spans="1:16" x14ac:dyDescent="0.25">
      <c r="A27" s="23"/>
      <c r="B27" s="188" t="s">
        <v>24</v>
      </c>
      <c r="C27" s="189"/>
      <c r="D27" s="189"/>
      <c r="E27" s="189"/>
      <c r="F27" s="189"/>
      <c r="G27" s="189"/>
      <c r="H27" s="189"/>
      <c r="I27" s="189"/>
      <c r="J27" s="190"/>
      <c r="K27" s="20"/>
    </row>
    <row r="28" spans="1:16" x14ac:dyDescent="0.25">
      <c r="A28" s="23"/>
      <c r="B28" s="197"/>
      <c r="C28" s="197"/>
      <c r="D28" s="197"/>
      <c r="E28" s="197"/>
      <c r="F28" s="197"/>
      <c r="G28" s="197"/>
      <c r="H28" s="197"/>
      <c r="I28" s="197"/>
      <c r="J28" s="197"/>
      <c r="K28" s="20"/>
    </row>
    <row r="29" spans="1:16" x14ac:dyDescent="0.25">
      <c r="A29" s="23"/>
      <c r="B29" s="197"/>
      <c r="C29" s="197"/>
      <c r="D29" s="197"/>
      <c r="E29" s="197"/>
      <c r="F29" s="197"/>
      <c r="G29" s="197"/>
      <c r="H29" s="197"/>
      <c r="I29" s="197"/>
      <c r="J29" s="197"/>
      <c r="K29" s="20"/>
    </row>
    <row r="30" spans="1:16" x14ac:dyDescent="0.25">
      <c r="A30" s="23"/>
      <c r="B30" s="60"/>
      <c r="C30" s="60"/>
      <c r="D30" s="60"/>
      <c r="E30" s="60"/>
      <c r="F30" s="60"/>
      <c r="G30" s="60"/>
      <c r="H30" s="60"/>
      <c r="I30" s="60"/>
      <c r="J30" s="60"/>
      <c r="K30" s="20"/>
    </row>
    <row r="31" spans="1:16" x14ac:dyDescent="0.25">
      <c r="A31" s="23"/>
      <c r="B31" s="60"/>
      <c r="C31" s="60"/>
      <c r="D31" s="60"/>
      <c r="E31" s="60"/>
      <c r="F31" s="60"/>
      <c r="G31" s="60"/>
      <c r="H31" s="60"/>
      <c r="I31" s="60"/>
      <c r="J31" s="60"/>
      <c r="K31" s="20"/>
    </row>
    <row r="32" spans="1:16" x14ac:dyDescent="0.25">
      <c r="A32" s="23"/>
      <c r="B32" s="60"/>
      <c r="C32" s="60"/>
      <c r="D32" s="60"/>
      <c r="E32" s="60"/>
      <c r="F32" s="60"/>
      <c r="G32" s="60"/>
      <c r="H32" s="60"/>
      <c r="I32" s="60"/>
      <c r="J32" s="60"/>
      <c r="K32" s="20"/>
    </row>
    <row r="33" spans="1:11" x14ac:dyDescent="0.25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20"/>
    </row>
    <row r="34" spans="1:11" x14ac:dyDescent="0.25">
      <c r="A34" s="23"/>
      <c r="B34" s="191" t="str">
        <f>BDI!B42</f>
        <v>SÃO JOÃO DA LAGOA</v>
      </c>
      <c r="C34" s="191"/>
      <c r="D34" s="191"/>
      <c r="E34" s="17"/>
      <c r="F34" s="61"/>
      <c r="G34" s="61"/>
      <c r="H34" s="61"/>
      <c r="I34" s="17"/>
      <c r="J34" s="17"/>
      <c r="K34" s="20"/>
    </row>
    <row r="35" spans="1:11" x14ac:dyDescent="0.25">
      <c r="A35" s="23"/>
      <c r="B35" s="62" t="s">
        <v>25</v>
      </c>
      <c r="C35" s="17"/>
      <c r="D35" s="17"/>
      <c r="E35" s="17"/>
      <c r="F35" s="63" t="s">
        <v>27</v>
      </c>
      <c r="G35" s="63"/>
      <c r="H35" s="63"/>
      <c r="I35" s="17"/>
      <c r="J35" s="17"/>
      <c r="K35" s="20"/>
    </row>
    <row r="36" spans="1:11" x14ac:dyDescent="0.25">
      <c r="A36" s="23"/>
      <c r="B36" s="17"/>
      <c r="C36" s="17"/>
      <c r="D36" s="17"/>
      <c r="E36" s="17"/>
      <c r="F36" s="15" t="s">
        <v>28</v>
      </c>
      <c r="G36" s="187" t="str">
        <f>BDI!C48</f>
        <v>LEONARDO PETERSON AMARAL LIMA</v>
      </c>
      <c r="H36" s="187"/>
      <c r="I36" s="17"/>
      <c r="J36" s="17"/>
      <c r="K36" s="20"/>
    </row>
    <row r="37" spans="1:11" x14ac:dyDescent="0.25">
      <c r="A37" s="23"/>
      <c r="B37" s="192" t="str">
        <f>BDI!H42</f>
        <v>segunda-feira, 06 de Abril de 2026</v>
      </c>
      <c r="C37" s="192"/>
      <c r="D37" s="192"/>
      <c r="E37" s="17"/>
      <c r="F37" s="15" t="s">
        <v>29</v>
      </c>
      <c r="G37" s="187" t="str">
        <f>BDI!C49</f>
        <v>331.073/D</v>
      </c>
      <c r="H37" s="187"/>
      <c r="I37" s="17"/>
      <c r="J37" s="17"/>
      <c r="K37" s="20"/>
    </row>
    <row r="38" spans="1:11" x14ac:dyDescent="0.25">
      <c r="A38" s="23"/>
      <c r="B38" s="64" t="s">
        <v>26</v>
      </c>
      <c r="C38" s="65"/>
      <c r="D38" s="65"/>
      <c r="E38" s="17"/>
      <c r="F38" s="15" t="s">
        <v>30</v>
      </c>
      <c r="G38" s="187" t="str">
        <f>BDI!C50</f>
        <v>MG20264931327</v>
      </c>
      <c r="H38" s="187"/>
      <c r="I38" s="17"/>
      <c r="J38" s="17"/>
      <c r="K38" s="20"/>
    </row>
    <row r="39" spans="1:11" ht="7.5" customHeight="1" x14ac:dyDescent="0.25">
      <c r="A39" s="24"/>
      <c r="B39" s="21"/>
      <c r="C39" s="21"/>
      <c r="D39" s="21"/>
      <c r="E39" s="21"/>
      <c r="F39" s="21"/>
      <c r="G39" s="21"/>
      <c r="H39" s="21"/>
      <c r="I39" s="21"/>
      <c r="J39" s="21"/>
      <c r="K39" s="22"/>
    </row>
  </sheetData>
  <mergeCells count="20">
    <mergeCell ref="G38:H38"/>
    <mergeCell ref="B27:J27"/>
    <mergeCell ref="B34:D34"/>
    <mergeCell ref="B37:D37"/>
    <mergeCell ref="B9:J9"/>
    <mergeCell ref="B11:E11"/>
    <mergeCell ref="B28:J29"/>
    <mergeCell ref="G36:H36"/>
    <mergeCell ref="G37:H37"/>
    <mergeCell ref="E8:G8"/>
    <mergeCell ref="E7:G7"/>
    <mergeCell ref="H8:I8"/>
    <mergeCell ref="H7:I7"/>
    <mergeCell ref="B2:J2"/>
    <mergeCell ref="B7:C7"/>
    <mergeCell ref="B8:C8"/>
    <mergeCell ref="B4:D4"/>
    <mergeCell ref="B5:D5"/>
    <mergeCell ref="E4:J4"/>
    <mergeCell ref="E5:J5"/>
  </mergeCells>
  <phoneticPr fontId="14" type="noConversion"/>
  <conditionalFormatting sqref="B9">
    <cfRule type="expression" dxfId="38" priority="44" stopIfTrue="1">
      <formula>ISERROR(INDIRECT(#REF!))</formula>
    </cfRule>
  </conditionalFormatting>
  <conditionalFormatting sqref="B12:B24 I12:J24">
    <cfRule type="expression" dxfId="37" priority="35" stopIfTrue="1">
      <formula>$B12=1</formula>
    </cfRule>
    <cfRule type="expression" dxfId="36" priority="36" stopIfTrue="1">
      <formula>OR($B12=0,$B12=2,$B12=3,$B12=4)</formula>
    </cfRule>
  </conditionalFormatting>
  <conditionalFormatting sqref="C12:D24">
    <cfRule type="expression" dxfId="35" priority="15" stopIfTrue="1">
      <formula>$B12=1</formula>
    </cfRule>
    <cfRule type="expression" dxfId="34" priority="16" stopIfTrue="1">
      <formula>OR($B12=0,$B12=2,$B12=3,$B12=4)</formula>
    </cfRule>
  </conditionalFormatting>
  <conditionalFormatting sqref="E12 E15">
    <cfRule type="expression" dxfId="33" priority="10" stopIfTrue="1">
      <formula>$B12=1</formula>
    </cfRule>
    <cfRule type="expression" dxfId="32" priority="11" stopIfTrue="1">
      <formula>OR($B12=0,$B12=2,$B12=3,$B12=4)</formula>
    </cfRule>
  </conditionalFormatting>
  <conditionalFormatting sqref="E17">
    <cfRule type="expression" dxfId="31" priority="5" stopIfTrue="1">
      <formula>$B17=1</formula>
    </cfRule>
    <cfRule type="expression" dxfId="30" priority="6" stopIfTrue="1">
      <formula>OR($B17=0,$B17=2,$B17=3,$B17=4)</formula>
    </cfRule>
  </conditionalFormatting>
  <conditionalFormatting sqref="E20">
    <cfRule type="expression" dxfId="29" priority="3" stopIfTrue="1">
      <formula>$B20=1</formula>
    </cfRule>
    <cfRule type="expression" dxfId="28" priority="4" stopIfTrue="1">
      <formula>OR($B20=0,$B20=2,$B20=3,$B20=4)</formula>
    </cfRule>
  </conditionalFormatting>
  <conditionalFormatting sqref="E23">
    <cfRule type="expression" dxfId="27" priority="1" stopIfTrue="1">
      <formula>$B23=1</formula>
    </cfRule>
    <cfRule type="expression" dxfId="26" priority="2" stopIfTrue="1">
      <formula>OR($B23=0,$B23=2,$B23=3,$B23=4)</formula>
    </cfRule>
  </conditionalFormatting>
  <conditionalFormatting sqref="F12:G24">
    <cfRule type="expression" dxfId="25" priority="23" stopIfTrue="1">
      <formula>$B12=1</formula>
    </cfRule>
  </conditionalFormatting>
  <conditionalFormatting sqref="F12:H14 F15:G24">
    <cfRule type="expression" dxfId="24" priority="24" stopIfTrue="1">
      <formula>OR($B12=0,$B12=2,$B12=3,$B12=4)</formula>
    </cfRule>
  </conditionalFormatting>
  <conditionalFormatting sqref="H12:H14">
    <cfRule type="expression" dxfId="23" priority="30" stopIfTrue="1">
      <formula>AND(TIPOORCAMENTO="Licitado",$B12&lt;&gt;"L",$B12&lt;&gt;-1)</formula>
    </cfRule>
  </conditionalFormatting>
  <conditionalFormatting sqref="H12:H24">
    <cfRule type="expression" dxfId="22" priority="12" stopIfTrue="1">
      <formula>$B12=1</formula>
    </cfRule>
  </conditionalFormatting>
  <conditionalFormatting sqref="H15:H24">
    <cfRule type="expression" dxfId="21" priority="13" stopIfTrue="1">
      <formula>OR($B15=0,$B15=2,$B15=3,$B15=4)</formula>
    </cfRule>
    <cfRule type="expression" dxfId="20" priority="14" stopIfTrue="1">
      <formula>AND(TIPOORCAMENTO="Licitado",$B15&lt;&gt;"L",$B15&lt;&gt;-1)</formula>
    </cfRule>
  </conditionalFormatting>
  <dataValidations count="4">
    <dataValidation allowBlank="1" showInputMessage="1" showErrorMessage="1" prompt="Para Orçamento Proposto, o Preço Unitário é resultado do produto do Custo Unitário pelo BDI._x000a_Para Orçamento Licitado, deve ser preenchido na Coluna AL." sqref="I12:I24" xr:uid="{2F66BD13-DB74-443D-AF9F-DCB7BC881B6C}"/>
    <dataValidation allowBlank="1" showInputMessage="1" showErrorMessage="1" prompt="A entrada de quantidades é feita na coluna AJ se acompanhamento por BM, ou na aba &quot;Memória de Cálculo/PLQ&quot; se acompanhamento por PLE." sqref="G12:G24" xr:uid="{9435D31E-8F39-46DC-8664-E6873A956EA7}"/>
    <dataValidation type="list" allowBlank="1" sqref="C12:C24" xr:uid="{6A803080-FFBE-43C8-BA75-8EE08DDFB569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H12:H24" xr:uid="{3BB7DEE2-B581-40FA-B66A-7BBFD56D8751}">
      <formula1>0</formula1>
      <formula2>0</formula2>
    </dataValidation>
  </dataValidations>
  <printOptions horizontalCentered="1"/>
  <pageMargins left="0.39370078740157483" right="0.78740157480314965" top="0.39370078740157483" bottom="0.39370078740157483" header="0.39370078740157483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F06-9290-48FA-AD6D-F64006019ED9}">
  <dimension ref="A1:O26"/>
  <sheetViews>
    <sheetView workbookViewId="0">
      <selection activeCell="P23" sqref="P23"/>
    </sheetView>
  </sheetViews>
  <sheetFormatPr defaultRowHeight="15" x14ac:dyDescent="0.25"/>
  <cols>
    <col min="1" max="1" width="1.5703125" customWidth="1"/>
    <col min="3" max="3" width="47.85546875" customWidth="1"/>
    <col min="4" max="4" width="17.42578125" customWidth="1"/>
    <col min="5" max="5" width="14.5703125" customWidth="1"/>
    <col min="6" max="9" width="12.7109375" customWidth="1"/>
    <col min="10" max="10" width="14.85546875" customWidth="1"/>
    <col min="11" max="11" width="1.85546875" customWidth="1"/>
    <col min="12" max="12" width="2" customWidth="1"/>
    <col min="14" max="14" width="12" customWidth="1"/>
    <col min="15" max="15" width="13.5703125" customWidth="1"/>
  </cols>
  <sheetData>
    <row r="1" spans="1:15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5" ht="15.75" x14ac:dyDescent="0.25">
      <c r="A2" s="23"/>
      <c r="B2" s="177" t="s">
        <v>74</v>
      </c>
      <c r="C2" s="177"/>
      <c r="D2" s="177"/>
      <c r="E2" s="177"/>
      <c r="F2" s="177"/>
      <c r="G2" s="177"/>
      <c r="H2" s="177"/>
      <c r="I2" s="177"/>
      <c r="J2" s="177"/>
      <c r="K2" s="20"/>
    </row>
    <row r="3" spans="1:15" x14ac:dyDescent="0.25">
      <c r="A3" s="23"/>
      <c r="B3" s="117"/>
      <c r="C3" s="117"/>
      <c r="D3" s="117"/>
      <c r="E3" s="117"/>
      <c r="F3" s="117"/>
      <c r="G3" s="117"/>
      <c r="H3" s="117"/>
      <c r="I3" s="117"/>
      <c r="J3" s="120"/>
      <c r="K3" s="20"/>
    </row>
    <row r="4" spans="1:15" x14ac:dyDescent="0.25">
      <c r="A4" s="23"/>
      <c r="B4" s="230" t="s">
        <v>2</v>
      </c>
      <c r="C4" s="232"/>
      <c r="D4" s="230" t="s">
        <v>42</v>
      </c>
      <c r="E4" s="231"/>
      <c r="F4" s="231"/>
      <c r="G4" s="231"/>
      <c r="H4" s="231"/>
      <c r="I4" s="231"/>
      <c r="J4" s="232"/>
      <c r="K4" s="20"/>
    </row>
    <row r="5" spans="1:15" ht="43.5" customHeight="1" x14ac:dyDescent="0.25">
      <c r="A5" s="23"/>
      <c r="B5" s="240" t="str">
        <f>ORÇAMENTO!B5</f>
        <v>PREFEITURA MUNICIPAL DE SÃO JOÃO DA LAGOA</v>
      </c>
      <c r="C5" s="241"/>
      <c r="D5" s="233" t="str">
        <f>ORÇAMENTO!E5</f>
        <v>RECAPEAMENTO ASFÁLTICO EM CBUQ EM DIVERSAS VIAS URBANAS DO MUNICÍPIO DE SÃO JOÃO DA LAGOA/MG</v>
      </c>
      <c r="E5" s="234"/>
      <c r="F5" s="234"/>
      <c r="G5" s="234"/>
      <c r="H5" s="234"/>
      <c r="I5" s="234"/>
      <c r="J5" s="235"/>
      <c r="K5" s="20"/>
    </row>
    <row r="6" spans="1:15" x14ac:dyDescent="0.25">
      <c r="A6" s="23"/>
      <c r="B6" s="85"/>
      <c r="C6" s="85"/>
      <c r="D6" s="85"/>
      <c r="E6" s="85"/>
      <c r="F6" s="85"/>
      <c r="G6" s="85"/>
      <c r="H6" s="85"/>
      <c r="I6" s="85"/>
      <c r="J6" s="85"/>
      <c r="K6" s="20"/>
    </row>
    <row r="7" spans="1:15" x14ac:dyDescent="0.25">
      <c r="A7" s="23"/>
      <c r="B7" s="236" t="s">
        <v>47</v>
      </c>
      <c r="C7" s="237" t="s">
        <v>50</v>
      </c>
      <c r="D7" s="238" t="s">
        <v>69</v>
      </c>
      <c r="E7" s="239" t="s">
        <v>70</v>
      </c>
      <c r="F7" s="101">
        <v>1</v>
      </c>
      <c r="G7" s="102">
        <v>2</v>
      </c>
      <c r="H7" s="102">
        <v>3</v>
      </c>
      <c r="I7" s="102">
        <v>4</v>
      </c>
      <c r="J7" s="102">
        <v>5</v>
      </c>
      <c r="K7" s="20"/>
    </row>
    <row r="8" spans="1:15" x14ac:dyDescent="0.25">
      <c r="A8" s="23"/>
      <c r="B8" s="236"/>
      <c r="C8" s="237"/>
      <c r="D8" s="238"/>
      <c r="E8" s="239"/>
      <c r="F8" s="103">
        <v>46082</v>
      </c>
      <c r="G8" s="103">
        <v>46083</v>
      </c>
      <c r="H8" s="103">
        <v>46084</v>
      </c>
      <c r="I8" s="103">
        <v>46085</v>
      </c>
      <c r="J8" s="103">
        <v>46086</v>
      </c>
      <c r="K8" s="20"/>
    </row>
    <row r="9" spans="1:15" ht="25.5" x14ac:dyDescent="0.25">
      <c r="A9" s="23"/>
      <c r="B9" s="104" t="s">
        <v>68</v>
      </c>
      <c r="C9" s="130" t="str">
        <f>ORÇAMENTO!E12</f>
        <v>RECAPEAMENTO DE DIVERSAS RUAS DO MUNICÍPIO</v>
      </c>
      <c r="D9" s="105">
        <f>ORÇAMENTO!J12</f>
        <v>502455.72000000003</v>
      </c>
      <c r="E9" s="106" t="s">
        <v>71</v>
      </c>
      <c r="F9" s="107">
        <f>ROUND(((F10*$D$10)+(F11*$D$11)+(F12*$D$12)+(F13*D13)+(F14*D14))/$D$9,4)</f>
        <v>0.46939999999999998</v>
      </c>
      <c r="G9" s="107">
        <f>ROUND(((G10*$D$10)+(G11*$D$11)+(G12*$D$12)+(G13*$D$13)+(G14*$D$14))/$D$9,4)</f>
        <v>0.35</v>
      </c>
      <c r="H9" s="107">
        <v>0.18060000000000001</v>
      </c>
      <c r="I9" s="107"/>
      <c r="J9" s="107">
        <v>0</v>
      </c>
      <c r="K9" s="20"/>
      <c r="M9" s="7">
        <f>SUM(F9:H9)</f>
        <v>0.99999999999999989</v>
      </c>
      <c r="N9" s="7"/>
    </row>
    <row r="10" spans="1:15" x14ac:dyDescent="0.25">
      <c r="A10" s="23"/>
      <c r="B10" s="104" t="s">
        <v>72</v>
      </c>
      <c r="C10" s="115" t="str">
        <f>ORÇAMENTO!E13</f>
        <v>SERVIÇOS INICIAIS</v>
      </c>
      <c r="D10" s="105">
        <f>ORÇAMENTO!J13</f>
        <v>1481.25</v>
      </c>
      <c r="E10" s="106" t="s">
        <v>71</v>
      </c>
      <c r="F10" s="107">
        <v>1</v>
      </c>
      <c r="G10" s="107"/>
      <c r="H10" s="107"/>
      <c r="I10" s="107"/>
      <c r="J10" s="107">
        <v>0</v>
      </c>
      <c r="K10" s="20"/>
      <c r="N10" s="134"/>
    </row>
    <row r="11" spans="1:15" x14ac:dyDescent="0.25">
      <c r="A11" s="23"/>
      <c r="B11" s="104" t="s">
        <v>83</v>
      </c>
      <c r="C11" s="115" t="str">
        <f>ORÇAMENTO!E15</f>
        <v>LIMPEZA DE BASE</v>
      </c>
      <c r="D11" s="105">
        <f>ORÇAMENTO!J15</f>
        <v>14535.8</v>
      </c>
      <c r="E11" s="106" t="s">
        <v>71</v>
      </c>
      <c r="F11" s="107">
        <f>'MEMÓRIA DE CÁLCULO'!X14/$D$11</f>
        <v>0.452806863055353</v>
      </c>
      <c r="G11" s="107">
        <f>'MEMÓRIA DE CÁLCULO'!Y14/$D$11</f>
        <v>0.35826786279392947</v>
      </c>
      <c r="H11" s="107">
        <f>'MEMÓRIA DE CÁLCULO'!Z14/$D$11</f>
        <v>0.18892458619408634</v>
      </c>
      <c r="I11" s="107"/>
      <c r="J11" s="107"/>
      <c r="K11" s="20"/>
      <c r="M11" s="7">
        <f>SUM(F11:H11)</f>
        <v>0.99999931204336889</v>
      </c>
    </row>
    <row r="12" spans="1:15" x14ac:dyDescent="0.25">
      <c r="A12" s="23"/>
      <c r="B12" s="104" t="s">
        <v>103</v>
      </c>
      <c r="C12" s="115" t="str">
        <f>ORÇAMENTO!E17</f>
        <v>PINTURA DE LIGAÇÃO</v>
      </c>
      <c r="D12" s="105">
        <f>ORÇAMENTO!J17</f>
        <v>21130.699999999997</v>
      </c>
      <c r="E12" s="106" t="s">
        <v>71</v>
      </c>
      <c r="F12" s="107">
        <f>'MEMÓRIA DE CÁLCULO'!X16/CRONOGRAMA!D12</f>
        <v>0.45280705324480497</v>
      </c>
      <c r="G12" s="107">
        <f>'MEMÓRIA DE CÁLCULO'!Y16/CRONOGRAMA!D12</f>
        <v>0.3582678283256116</v>
      </c>
      <c r="H12" s="107">
        <f>'MEMÓRIA DE CÁLCULO'!Z16/CRONOGRAMA!D12</f>
        <v>0.18892511842958351</v>
      </c>
      <c r="I12" s="107"/>
      <c r="J12" s="107"/>
      <c r="K12" s="20"/>
      <c r="M12" s="7">
        <f>SUM(F12:H12)</f>
        <v>1</v>
      </c>
    </row>
    <row r="13" spans="1:15" x14ac:dyDescent="0.25">
      <c r="A13" s="23"/>
      <c r="B13" s="104" t="s">
        <v>188</v>
      </c>
      <c r="C13" s="115" t="str">
        <f>ORÇAMENTO!E20</f>
        <v>RECAPEAMENTO</v>
      </c>
      <c r="D13" s="105">
        <f>ORÇAMENTO!J20</f>
        <v>362476.02</v>
      </c>
      <c r="E13" s="106" t="s">
        <v>71</v>
      </c>
      <c r="F13" s="107">
        <f>'MEMÓRIA DE CÁLCULO'!X19/CRONOGRAMA!D13</f>
        <v>0.50787767974278675</v>
      </c>
      <c r="G13" s="107">
        <f>'MEMÓRIA DE CÁLCULO'!Y19/D13</f>
        <v>0.32218983755118474</v>
      </c>
      <c r="H13" s="107">
        <f>'MEMÓRIA DE CÁLCULO'!Z19/D13</f>
        <v>0.16993248270602837</v>
      </c>
      <c r="I13" s="107"/>
      <c r="J13" s="107"/>
      <c r="K13" s="20"/>
      <c r="M13" s="7">
        <f t="shared" ref="M13:M14" si="0">SUM(F13:H13)</f>
        <v>0.99999999999999989</v>
      </c>
    </row>
    <row r="14" spans="1:15" x14ac:dyDescent="0.25">
      <c r="A14" s="23"/>
      <c r="B14" s="104" t="s">
        <v>187</v>
      </c>
      <c r="C14" s="115" t="str">
        <f>ORÇAMENTO!E23</f>
        <v>DRENAGEM</v>
      </c>
      <c r="D14" s="105">
        <f>ORÇAMENTO!J23</f>
        <v>102831.95</v>
      </c>
      <c r="E14" s="106" t="s">
        <v>71</v>
      </c>
      <c r="F14" s="107">
        <f>'MEMÓRIA DE CÁLCULO'!X22/CRONOGRAMA!D14</f>
        <v>0.33178822340721925</v>
      </c>
      <c r="G14" s="107">
        <f>'MEMÓRIA DE CÁLCULO'!Y22/CRONOGRAMA!D14</f>
        <v>0.44999380056490229</v>
      </c>
      <c r="H14" s="107">
        <f>'MEMÓRIA DE CÁLCULO'!Z22/CRONOGRAMA!D14</f>
        <v>0.21821797602787849</v>
      </c>
      <c r="I14" s="107"/>
      <c r="J14" s="107"/>
      <c r="K14" s="20"/>
      <c r="M14" s="7">
        <f t="shared" si="0"/>
        <v>1</v>
      </c>
    </row>
    <row r="15" spans="1:15" ht="7.5" customHeight="1" x14ac:dyDescent="0.25">
      <c r="A15" s="23"/>
      <c r="B15" s="114"/>
      <c r="C15" s="108"/>
      <c r="D15" s="100"/>
      <c r="E15" s="100"/>
      <c r="F15" s="108"/>
      <c r="G15" s="108"/>
      <c r="H15" s="108"/>
      <c r="I15" s="108"/>
      <c r="J15" s="108"/>
      <c r="K15" s="20"/>
    </row>
    <row r="16" spans="1:15" x14ac:dyDescent="0.25">
      <c r="A16" s="23"/>
      <c r="B16" s="227"/>
      <c r="C16" s="227"/>
      <c r="D16" s="226" t="s">
        <v>75</v>
      </c>
      <c r="E16" s="109" t="s">
        <v>73</v>
      </c>
      <c r="F16" s="110">
        <f>F9</f>
        <v>0.46939999999999998</v>
      </c>
      <c r="G16" s="110">
        <f>G9</f>
        <v>0.35</v>
      </c>
      <c r="H16" s="110">
        <f>H9</f>
        <v>0.18060000000000001</v>
      </c>
      <c r="I16" s="113"/>
      <c r="J16" s="113"/>
      <c r="K16" s="20"/>
      <c r="N16" s="129"/>
      <c r="O16" s="129"/>
    </row>
    <row r="17" spans="1:12" x14ac:dyDescent="0.25">
      <c r="A17" s="23"/>
      <c r="B17" s="227"/>
      <c r="C17" s="227"/>
      <c r="D17" s="226"/>
      <c r="E17" s="111" t="s">
        <v>76</v>
      </c>
      <c r="F17" s="112">
        <f>F16*$D$9</f>
        <v>235852.71496800001</v>
      </c>
      <c r="G17" s="112">
        <f>G16*$D$9</f>
        <v>175859.50200000001</v>
      </c>
      <c r="H17" s="112">
        <f>H16*$D$9</f>
        <v>90743.503032000008</v>
      </c>
      <c r="I17" s="113"/>
      <c r="J17" s="113"/>
      <c r="K17" s="20"/>
    </row>
    <row r="18" spans="1:12" x14ac:dyDescent="0.25">
      <c r="A18" s="23"/>
      <c r="B18" s="227"/>
      <c r="C18" s="227"/>
      <c r="D18" s="226" t="s">
        <v>77</v>
      </c>
      <c r="E18" s="109" t="s">
        <v>73</v>
      </c>
      <c r="F18" s="110">
        <f>F16</f>
        <v>0.46939999999999998</v>
      </c>
      <c r="G18" s="110">
        <f t="shared" ref="G18:H18" si="1">F18+G16</f>
        <v>0.81939999999999991</v>
      </c>
      <c r="H18" s="110">
        <f t="shared" si="1"/>
        <v>0.99999999999999989</v>
      </c>
      <c r="I18" s="113"/>
      <c r="J18" s="113"/>
      <c r="K18" s="20"/>
    </row>
    <row r="19" spans="1:12" x14ac:dyDescent="0.25">
      <c r="A19" s="23"/>
      <c r="B19" s="227"/>
      <c r="C19" s="227"/>
      <c r="D19" s="226"/>
      <c r="E19" s="111" t="s">
        <v>76</v>
      </c>
      <c r="F19" s="112">
        <f>F17</f>
        <v>235852.71496800001</v>
      </c>
      <c r="G19" s="112">
        <f>F19+G17</f>
        <v>411712.21696800005</v>
      </c>
      <c r="H19" s="112">
        <f>G19+H17</f>
        <v>502455.72000000009</v>
      </c>
      <c r="I19" s="113"/>
      <c r="J19" s="113"/>
      <c r="K19" s="20"/>
      <c r="L19" s="7"/>
    </row>
    <row r="20" spans="1:12" x14ac:dyDescent="0.25">
      <c r="A20" s="23"/>
      <c r="B20" s="17"/>
      <c r="C20" s="17"/>
      <c r="D20" s="17"/>
      <c r="E20" s="17"/>
      <c r="F20" s="17"/>
      <c r="G20" s="17"/>
      <c r="H20" s="17"/>
      <c r="I20" s="17"/>
      <c r="J20" s="17"/>
      <c r="K20" s="20"/>
    </row>
    <row r="21" spans="1:12" ht="59.25" customHeight="1" x14ac:dyDescent="0.25">
      <c r="A21" s="23"/>
      <c r="B21" s="191" t="str">
        <f>ORÇAMENTO!B34</f>
        <v>SÃO JOÃO DA LAGOA</v>
      </c>
      <c r="C21" s="191"/>
      <c r="D21" s="17"/>
      <c r="E21" s="17"/>
      <c r="F21" s="229"/>
      <c r="G21" s="229"/>
      <c r="H21" s="229"/>
      <c r="I21" s="229"/>
      <c r="J21" s="17"/>
      <c r="K21" s="20"/>
    </row>
    <row r="22" spans="1:12" x14ac:dyDescent="0.25">
      <c r="A22" s="23"/>
      <c r="B22" s="62" t="s">
        <v>25</v>
      </c>
      <c r="C22" s="17"/>
      <c r="D22" s="17"/>
      <c r="E22" s="17"/>
      <c r="F22" s="228" t="s">
        <v>27</v>
      </c>
      <c r="G22" s="228"/>
      <c r="H22" s="228"/>
      <c r="I22" s="228"/>
      <c r="J22" s="17"/>
      <c r="K22" s="20"/>
    </row>
    <row r="23" spans="1:12" x14ac:dyDescent="0.25">
      <c r="A23" s="23"/>
      <c r="B23" s="17"/>
      <c r="C23" s="17"/>
      <c r="D23" s="17"/>
      <c r="E23" s="17"/>
      <c r="F23" s="15" t="s">
        <v>28</v>
      </c>
      <c r="G23" s="187" t="str">
        <f>ORÇAMENTO!G36</f>
        <v>LEONARDO PETERSON AMARAL LIMA</v>
      </c>
      <c r="H23" s="187"/>
      <c r="I23" s="187"/>
      <c r="J23" s="122"/>
      <c r="K23" s="20"/>
    </row>
    <row r="24" spans="1:12" x14ac:dyDescent="0.25">
      <c r="A24" s="23"/>
      <c r="B24" s="192" t="str">
        <f>ORÇAMENTO!B37</f>
        <v>segunda-feira, 06 de Abril de 2026</v>
      </c>
      <c r="C24" s="192"/>
      <c r="D24" s="17"/>
      <c r="E24" s="17"/>
      <c r="F24" s="15" t="s">
        <v>29</v>
      </c>
      <c r="G24" s="187" t="str">
        <f>ORÇAMENTO!G37</f>
        <v>331.073/D</v>
      </c>
      <c r="H24" s="187"/>
      <c r="I24" s="187"/>
      <c r="J24" s="122"/>
      <c r="K24" s="20"/>
    </row>
    <row r="25" spans="1:12" x14ac:dyDescent="0.25">
      <c r="A25" s="23"/>
      <c r="B25" s="64" t="s">
        <v>26</v>
      </c>
      <c r="C25" s="65"/>
      <c r="D25" s="17"/>
      <c r="E25" s="17"/>
      <c r="F25" s="15" t="s">
        <v>30</v>
      </c>
      <c r="G25" s="187" t="str">
        <f>ORÇAMENTO!G38</f>
        <v>MG20264931327</v>
      </c>
      <c r="H25" s="187"/>
      <c r="I25" s="187"/>
      <c r="J25" s="122"/>
      <c r="K25" s="20"/>
    </row>
    <row r="26" spans="1:12" ht="4.5" customHeight="1" x14ac:dyDescent="0.25">
      <c r="A26" s="24"/>
      <c r="B26" s="21"/>
      <c r="C26" s="21"/>
      <c r="D26" s="21"/>
      <c r="E26" s="21"/>
      <c r="F26" s="21"/>
      <c r="G26" s="21"/>
      <c r="H26" s="21"/>
      <c r="I26" s="21"/>
      <c r="J26" s="21"/>
      <c r="K26" s="22"/>
    </row>
  </sheetData>
  <mergeCells count="19">
    <mergeCell ref="B2:J2"/>
    <mergeCell ref="D4:J4"/>
    <mergeCell ref="D5:J5"/>
    <mergeCell ref="B7:B8"/>
    <mergeCell ref="C7:C8"/>
    <mergeCell ref="D7:D8"/>
    <mergeCell ref="E7:E8"/>
    <mergeCell ref="B4:C4"/>
    <mergeCell ref="B5:C5"/>
    <mergeCell ref="D16:D17"/>
    <mergeCell ref="D18:D19"/>
    <mergeCell ref="B16:C19"/>
    <mergeCell ref="G25:I25"/>
    <mergeCell ref="B24:C24"/>
    <mergeCell ref="B21:C21"/>
    <mergeCell ref="F22:I22"/>
    <mergeCell ref="F21:I21"/>
    <mergeCell ref="G23:I23"/>
    <mergeCell ref="G24:I24"/>
  </mergeCells>
  <conditionalFormatting sqref="B15:D15 B16">
    <cfRule type="expression" dxfId="19" priority="77" stopIfTrue="1">
      <formula>$K9=2</formula>
    </cfRule>
    <cfRule type="expression" dxfId="18" priority="78" stopIfTrue="1">
      <formula>AND($K9=1,$Q9&lt;&gt;"")</formula>
    </cfRule>
  </conditionalFormatting>
  <conditionalFormatting sqref="C12:D14">
    <cfRule type="expression" dxfId="17" priority="11" stopIfTrue="1">
      <formula>$K8=2</formula>
    </cfRule>
    <cfRule type="expression" dxfId="16" priority="12" stopIfTrue="1">
      <formula>AND($K8=1,$Q8&lt;&gt;"")</formula>
    </cfRule>
  </conditionalFormatting>
  <conditionalFormatting sqref="F17:H17">
    <cfRule type="expression" dxfId="15" priority="2" stopIfTrue="1">
      <formula>OFFSET(F$33,0,-1)&gt;=1</formula>
    </cfRule>
  </conditionalFormatting>
  <conditionalFormatting sqref="F9:J15 F16:H16 I16:J19 F18:H18">
    <cfRule type="expression" dxfId="14" priority="14" stopIfTrue="1">
      <formula>F9&lt;&gt;0</formula>
    </cfRule>
  </conditionalFormatting>
  <conditionalFormatting sqref="G19:H19">
    <cfRule type="expression" dxfId="13" priority="1" stopIfTrue="1">
      <formula>OFFSET(G$33,0,-1)&gt;=1</formula>
    </cfRule>
  </conditionalFormatting>
  <dataValidations count="3">
    <dataValidation type="date" operator="greaterThan" allowBlank="1" showInputMessage="1" showErrorMessage="1" errorTitle="Erro" error="Digite somente datas." sqref="F8:J8" xr:uid="{A48D05DD-1223-484E-9C12-F6657675C469}">
      <formula1>36526</formula1>
    </dataValidation>
    <dataValidation type="whole" operator="greaterThan" allowBlank="1" showErrorMessage="1" sqref="F7" xr:uid="{1D3363F3-FF24-425A-95A7-3C8C8FF7A437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I19:J19 I17 J9:J17 F18:J18 F9:I16" xr:uid="{AC027FE9-5468-47AD-A7EB-8D4777257594}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9FE-9209-4521-B2A7-DDE425C25950}">
  <dimension ref="A1:Z33"/>
  <sheetViews>
    <sheetView topLeftCell="A20" zoomScale="85" zoomScaleNormal="85" workbookViewId="0">
      <selection activeCell="V21" sqref="V21"/>
    </sheetView>
  </sheetViews>
  <sheetFormatPr defaultRowHeight="15" x14ac:dyDescent="0.25"/>
  <cols>
    <col min="1" max="1" width="1.85546875" style="85" customWidth="1"/>
    <col min="2" max="3" width="9.140625" style="84"/>
    <col min="4" max="4" width="42" style="84" customWidth="1"/>
    <col min="5" max="5" width="10.7109375" style="84" customWidth="1"/>
    <col min="6" max="6" width="11.5703125" style="84" customWidth="1"/>
    <col min="7" max="7" width="33.85546875" style="84" customWidth="1"/>
    <col min="8" max="8" width="14.7109375" style="84" customWidth="1"/>
    <col min="9" max="15" width="10.7109375" style="84" customWidth="1"/>
    <col min="16" max="17" width="2.140625" style="84" customWidth="1"/>
    <col min="18" max="18" width="12.7109375" style="84" customWidth="1"/>
    <col min="19" max="19" width="9.140625" style="84"/>
    <col min="20" max="20" width="10.140625" style="84" bestFit="1" customWidth="1"/>
    <col min="21" max="21" width="9.140625" style="84"/>
    <col min="22" max="22" width="11" style="84" customWidth="1"/>
    <col min="23" max="23" width="9.140625" style="84"/>
    <col min="24" max="25" width="11.5703125" style="84" bestFit="1" customWidth="1"/>
    <col min="26" max="26" width="10.5703125" style="84" bestFit="1" customWidth="1"/>
    <col min="27" max="16384" width="9.140625" style="84"/>
  </cols>
  <sheetData>
    <row r="1" spans="1:26" x14ac:dyDescent="0.25">
      <c r="A1" s="93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5"/>
      <c r="Q1" s="85"/>
    </row>
    <row r="2" spans="1:26" ht="15.75" x14ac:dyDescent="0.25">
      <c r="A2" s="94"/>
      <c r="B2" s="177" t="s">
        <v>67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96"/>
      <c r="Q2" s="85"/>
    </row>
    <row r="3" spans="1:26" ht="15.75" x14ac:dyDescent="0.25">
      <c r="A3" s="94"/>
      <c r="B3" s="177" t="s">
        <v>113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6"/>
      <c r="Q3" s="85"/>
    </row>
    <row r="4" spans="1:26" x14ac:dyDescent="0.25">
      <c r="A4" s="9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96"/>
      <c r="Q4" s="85"/>
    </row>
    <row r="5" spans="1:26" x14ac:dyDescent="0.25">
      <c r="A5" s="94"/>
      <c r="B5" s="230" t="s">
        <v>2</v>
      </c>
      <c r="C5" s="231"/>
      <c r="D5" s="231"/>
      <c r="E5" s="230" t="s">
        <v>42</v>
      </c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96"/>
      <c r="Q5" s="85"/>
    </row>
    <row r="6" spans="1:26" x14ac:dyDescent="0.25">
      <c r="A6" s="94"/>
      <c r="B6" s="240" t="str">
        <f>ORÇAMENTO!B5</f>
        <v>PREFEITURA MUNICIPAL DE SÃO JOÃO DA LAGOA</v>
      </c>
      <c r="C6" s="245"/>
      <c r="D6" s="245"/>
      <c r="E6" s="233" t="str">
        <f>CRONOGRAMA!D5</f>
        <v>RECAPEAMENTO ASFÁLTICO EM CBUQ EM DIVERSAS VIAS URBANAS DO MUNICÍPIO DE SÃO JOÃO DA LAGOA/MG</v>
      </c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96"/>
      <c r="Q6" s="85"/>
    </row>
    <row r="7" spans="1:26" x14ac:dyDescent="0.25">
      <c r="A7" s="94"/>
      <c r="B7" s="85"/>
      <c r="C7" s="85"/>
      <c r="D7" s="86"/>
      <c r="E7" s="86"/>
      <c r="F7" s="86"/>
      <c r="G7" s="86"/>
      <c r="H7" s="87"/>
      <c r="I7" s="87"/>
      <c r="J7" s="87"/>
      <c r="K7" s="87"/>
      <c r="L7" s="87"/>
      <c r="M7" s="87"/>
      <c r="N7" s="87"/>
      <c r="O7" s="87"/>
      <c r="P7" s="96"/>
      <c r="Q7" s="85"/>
    </row>
    <row r="8" spans="1:26" ht="73.5" x14ac:dyDescent="0.25">
      <c r="A8" s="94"/>
      <c r="B8" s="85"/>
      <c r="C8" s="85"/>
      <c r="D8" s="85"/>
      <c r="E8" s="85"/>
      <c r="F8" s="85"/>
      <c r="G8" s="85"/>
      <c r="H8" s="124" t="s">
        <v>65</v>
      </c>
      <c r="I8" s="116" t="s">
        <v>107</v>
      </c>
      <c r="J8" s="116" t="s">
        <v>185</v>
      </c>
      <c r="K8" s="116" t="s">
        <v>175</v>
      </c>
      <c r="L8" s="116" t="s">
        <v>108</v>
      </c>
      <c r="M8" s="116" t="s">
        <v>109</v>
      </c>
      <c r="N8" s="116" t="s">
        <v>110</v>
      </c>
      <c r="O8" s="116" t="s">
        <v>111</v>
      </c>
      <c r="P8" s="96"/>
      <c r="Q8" s="85"/>
    </row>
    <row r="9" spans="1:26" ht="25.5" x14ac:dyDescent="0.25">
      <c r="A9" s="94"/>
      <c r="B9" s="31" t="s">
        <v>46</v>
      </c>
      <c r="C9" s="70" t="s">
        <v>47</v>
      </c>
      <c r="D9" s="31" t="s">
        <v>50</v>
      </c>
      <c r="E9" s="32" t="s">
        <v>51</v>
      </c>
      <c r="F9" s="31" t="s">
        <v>52</v>
      </c>
      <c r="G9" s="31" t="s">
        <v>61</v>
      </c>
      <c r="H9" s="31" t="s">
        <v>63</v>
      </c>
      <c r="I9" s="31">
        <v>1</v>
      </c>
      <c r="J9" s="31">
        <v>2</v>
      </c>
      <c r="K9" s="31">
        <v>3</v>
      </c>
      <c r="L9" s="31">
        <v>4</v>
      </c>
      <c r="M9" s="31">
        <v>5</v>
      </c>
      <c r="N9" s="31">
        <v>6</v>
      </c>
      <c r="O9" s="31">
        <v>7</v>
      </c>
      <c r="P9" s="96"/>
      <c r="Q9" s="85"/>
    </row>
    <row r="10" spans="1:26" ht="38.25" x14ac:dyDescent="0.25">
      <c r="A10" s="94"/>
      <c r="B10" s="76" t="str">
        <f>IF(TIPOORCAMENTO="LICITADO","CTEF","LOTE")</f>
        <v>LOTE</v>
      </c>
      <c r="C10" s="242" t="str">
        <f>CRONOGRAMA!D5</f>
        <v>RECAPEAMENTO ASFÁLTICO EM CBUQ EM DIVERSAS VIAS URBANAS DO MUNICÍPIO DE SÃO JOÃO DA LAGOA/MG</v>
      </c>
      <c r="D10" s="243"/>
      <c r="E10" s="243"/>
      <c r="F10" s="243"/>
      <c r="G10" s="244"/>
      <c r="H10" s="125" t="s">
        <v>64</v>
      </c>
      <c r="I10" s="77">
        <f>SUM(I12+I14+I16)</f>
        <v>1545.6100000000001</v>
      </c>
      <c r="J10" s="77">
        <f t="shared" ref="J10:O10" si="0">SUM(J12+J14+J16)</f>
        <v>3283.5</v>
      </c>
      <c r="K10" s="77">
        <f t="shared" si="0"/>
        <v>1909.1799999999998</v>
      </c>
      <c r="L10" s="77">
        <f t="shared" si="0"/>
        <v>5429.82</v>
      </c>
      <c r="M10" s="77">
        <f t="shared" si="0"/>
        <v>7348.34</v>
      </c>
      <c r="N10" s="77">
        <f t="shared" si="0"/>
        <v>8166.7999999999993</v>
      </c>
      <c r="O10" s="77">
        <f t="shared" si="0"/>
        <v>9464.49</v>
      </c>
      <c r="P10" s="96"/>
      <c r="Q10" s="85"/>
      <c r="R10" s="168">
        <f>SUM(I10:O10)</f>
        <v>37147.74</v>
      </c>
      <c r="T10" s="132">
        <f>SUM(I10:O10)</f>
        <v>37147.74</v>
      </c>
      <c r="V10" s="133">
        <f>SUM(V11:V23)</f>
        <v>502455.72000000003</v>
      </c>
    </row>
    <row r="11" spans="1:26" ht="30" x14ac:dyDescent="0.25">
      <c r="A11" s="94"/>
      <c r="B11" s="88" t="s">
        <v>55</v>
      </c>
      <c r="C11" s="78">
        <v>1</v>
      </c>
      <c r="D11" s="89" t="str">
        <f>ORÇAMENTO!E12</f>
        <v>RECAPEAMENTO DE DIVERSAS RUAS DO MUNICÍPIO</v>
      </c>
      <c r="E11" s="79" t="str">
        <f ca="1">IF($E11&lt;&gt;"Serviço","",OFFSET([1]ORÇAMENTO!P$15,ROW(E11)-ROW(E$10),0))</f>
        <v/>
      </c>
      <c r="F11" s="49">
        <f ca="1">IF($E11&lt;&gt;"Serviço",0,IF(ACOMPANHAMENTO="BM",ROUND(OFFSET([1]ORÇAMENTO!AG$15,ROW(F11)-ROW(F$10),0),15-13*[1]ORÇAMENTO!$AF$7),SUMPRODUCT((#REF!&lt;&gt;"")*ROUND($P11:$U11,15-13*[1]ORÇAMENTO!$AF$7))))</f>
        <v>0</v>
      </c>
      <c r="G11" s="80"/>
      <c r="H11" s="81" t="str">
        <f ca="1">IF($E11&lt;&gt;"Serviço","",IF(AUTOEVENTO="Manual",IF(#REF!=0,"&lt;-- defina o número do agrupador",OFFSET([1]EVENTOS!$D$14,#REF!,0)),OFFSET($G$10,#REF!,0)))</f>
        <v/>
      </c>
      <c r="I11" s="82"/>
      <c r="J11" s="82"/>
      <c r="K11" s="82"/>
      <c r="L11" s="82"/>
      <c r="M11" s="82"/>
      <c r="N11" s="82"/>
      <c r="O11" s="82"/>
      <c r="P11" s="96"/>
      <c r="Q11" s="85"/>
    </row>
    <row r="12" spans="1:26" x14ac:dyDescent="0.25">
      <c r="A12" s="94"/>
      <c r="B12" s="83" t="s">
        <v>56</v>
      </c>
      <c r="C12" s="78" t="s">
        <v>81</v>
      </c>
      <c r="D12" s="89" t="s">
        <v>57</v>
      </c>
      <c r="E12" s="79" t="str">
        <f ca="1">IF($E12&lt;&gt;"Serviço","",OFFSET([1]ORÇAMENTO!P$15,ROW(E12)-ROW(E$10),0))</f>
        <v/>
      </c>
      <c r="F12" s="49">
        <f ca="1">IF($E12&lt;&gt;"Serviço",0,IF(ACOMPANHAMENTO="BM",ROUND(OFFSET([1]ORÇAMENTO!AG$15,ROW(F12)-ROW(F$10),0),15-13*[1]ORÇAMENTO!$AF$7),SUMPRODUCT((#REF!&lt;&gt;"")*ROUND($P12:$U12,15-13*[1]ORÇAMENTO!$AF$7))))</f>
        <v>0</v>
      </c>
      <c r="G12" s="80"/>
      <c r="H12" s="81" t="str">
        <f ca="1">IF($E12&lt;&gt;"Serviço","",IF(AUTOEVENTO="Manual",IF(#REF!=0,"&lt;-- defina o número do agrupador",OFFSET([1]EVENTOS!$D$14,#REF!,0)),OFFSET($G$10,#REF!,0)))</f>
        <v/>
      </c>
      <c r="I12" s="82"/>
      <c r="J12" s="82"/>
      <c r="K12" s="82"/>
      <c r="L12" s="82"/>
      <c r="M12" s="82"/>
      <c r="N12" s="82"/>
      <c r="O12" s="82">
        <f>ROUND(((O13*$T$13)),2)</f>
        <v>1481.25</v>
      </c>
      <c r="P12" s="96"/>
      <c r="Q12" s="85"/>
      <c r="R12" s="168">
        <f>SUM(I12:O12)</f>
        <v>1481.25</v>
      </c>
    </row>
    <row r="13" spans="1:26" ht="120" x14ac:dyDescent="0.25">
      <c r="A13" s="94"/>
      <c r="B13" s="90" t="s">
        <v>55</v>
      </c>
      <c r="C13" s="71" t="s">
        <v>82</v>
      </c>
      <c r="D13" s="119" t="s">
        <v>66</v>
      </c>
      <c r="E13" s="72" t="str">
        <f ca="1">IF($E13&lt;&gt;"Serviço","",OFFSET([1]ORÇAMENTO!P$15,ROW(E13)-ROW(E$10),0))</f>
        <v>un</v>
      </c>
      <c r="F13" s="56">
        <f>SUM(I13:O13)</f>
        <v>1</v>
      </c>
      <c r="G13" s="73" t="s">
        <v>62</v>
      </c>
      <c r="H13" s="74" t="str">
        <f>D12</f>
        <v xml:space="preserve">Serviços Iniciais </v>
      </c>
      <c r="I13" s="75"/>
      <c r="J13" s="75"/>
      <c r="K13" s="75"/>
      <c r="L13" s="75"/>
      <c r="M13" s="75"/>
      <c r="N13" s="75"/>
      <c r="O13" s="75">
        <v>1</v>
      </c>
      <c r="P13" s="96"/>
      <c r="Q13" s="85"/>
      <c r="T13" s="84">
        <f>ORÇAMENTO!I14</f>
        <v>1481.25</v>
      </c>
      <c r="V13" s="84">
        <f>ROUND(F13*T13,2)</f>
        <v>1481.25</v>
      </c>
    </row>
    <row r="14" spans="1:26" x14ac:dyDescent="0.25">
      <c r="A14" s="94"/>
      <c r="B14" s="83" t="s">
        <v>56</v>
      </c>
      <c r="C14" s="78" t="s">
        <v>83</v>
      </c>
      <c r="D14" s="89" t="str">
        <f>ORÇAMENTO!E15</f>
        <v>LIMPEZA DE BASE</v>
      </c>
      <c r="E14" s="79" t="str">
        <f ca="1">IF($E14&lt;&gt;"Serviço","",OFFSET([1]ORÇAMENTO!P$15,ROW(E14)-ROW(E$10),0))</f>
        <v/>
      </c>
      <c r="F14" s="49">
        <v>0</v>
      </c>
      <c r="G14" s="80"/>
      <c r="H14" s="81" t="str">
        <f ca="1">IF($E14&lt;&gt;"Serviço","",IF(AUTOEVENTO="Manual",IF(#REF!=0,"&lt;-- defina o número do agrupador",OFFSET([1]EVENTOS!$D$14,#REF!,0)),OFFSET($G$10,#REF!,0)))</f>
        <v/>
      </c>
      <c r="I14" s="82">
        <f t="shared" ref="I14:O14" si="1">ROUND((+(I15*$T$15)),2)</f>
        <v>629.91</v>
      </c>
      <c r="J14" s="82">
        <f t="shared" si="1"/>
        <v>1338.18</v>
      </c>
      <c r="K14" s="82">
        <f t="shared" si="1"/>
        <v>778.08</v>
      </c>
      <c r="L14" s="82">
        <f t="shared" si="1"/>
        <v>2212.91</v>
      </c>
      <c r="M14" s="82">
        <f t="shared" si="1"/>
        <v>2994.8</v>
      </c>
      <c r="N14" s="82">
        <f t="shared" si="1"/>
        <v>3328.36</v>
      </c>
      <c r="O14" s="82">
        <f t="shared" si="1"/>
        <v>3253.55</v>
      </c>
      <c r="P14" s="96"/>
      <c r="Q14" s="85"/>
      <c r="R14" s="168">
        <f>SUM(I14:O14)</f>
        <v>14535.79</v>
      </c>
      <c r="X14" s="168">
        <f>O14+N14</f>
        <v>6581.91</v>
      </c>
      <c r="Y14" s="168">
        <f>M14+L14</f>
        <v>5207.71</v>
      </c>
      <c r="Z14" s="168">
        <f>J14+I14+K14</f>
        <v>2746.17</v>
      </c>
    </row>
    <row r="15" spans="1:26" ht="167.25" customHeight="1" x14ac:dyDescent="0.25">
      <c r="A15" s="94"/>
      <c r="B15" s="90" t="s">
        <v>55</v>
      </c>
      <c r="C15" s="71" t="s">
        <v>85</v>
      </c>
      <c r="D15" s="91" t="str">
        <f>ORÇAMENTO!E16</f>
        <v>LIMPEZA DE SUPERFÍCIE COM JATO DE ALTA PRESSÃO. AF_04/2019</v>
      </c>
      <c r="E15" s="72" t="str">
        <f>ORÇAMENTO!F16</f>
        <v>M²</v>
      </c>
      <c r="F15" s="56">
        <f>SUM(I15:O15)</f>
        <v>6792.43</v>
      </c>
      <c r="G15" s="73" t="s">
        <v>177</v>
      </c>
      <c r="H15" s="74" t="str">
        <f>D14</f>
        <v>LIMPEZA DE BASE</v>
      </c>
      <c r="I15" s="126">
        <f>I17</f>
        <v>294.35000000000002</v>
      </c>
      <c r="J15" s="126">
        <f t="shared" ref="J15:O15" si="2">J17</f>
        <v>625.32000000000005</v>
      </c>
      <c r="K15" s="126">
        <f t="shared" si="2"/>
        <v>363.59</v>
      </c>
      <c r="L15" s="126">
        <f t="shared" si="2"/>
        <v>1034.07</v>
      </c>
      <c r="M15" s="126">
        <f t="shared" si="2"/>
        <v>1399.44</v>
      </c>
      <c r="N15" s="126">
        <f t="shared" si="2"/>
        <v>1555.31</v>
      </c>
      <c r="O15" s="126">
        <f t="shared" si="2"/>
        <v>1520.35</v>
      </c>
      <c r="P15" s="96"/>
      <c r="Q15" s="85"/>
      <c r="T15" s="84">
        <f>ORÇAMENTO!I16</f>
        <v>2.14</v>
      </c>
      <c r="V15" s="84">
        <f t="shared" ref="V15:V23" si="3">ROUND(F15*T15,2)</f>
        <v>14535.8</v>
      </c>
    </row>
    <row r="16" spans="1:26" x14ac:dyDescent="0.25">
      <c r="A16" s="94"/>
      <c r="B16" s="83" t="s">
        <v>56</v>
      </c>
      <c r="C16" s="78" t="str">
        <f>ORÇAMENTO!B17</f>
        <v>1.3</v>
      </c>
      <c r="D16" s="89" t="str">
        <f>ORÇAMENTO!E17</f>
        <v>PINTURA DE LIGAÇÃO</v>
      </c>
      <c r="E16" s="79" t="str">
        <f ca="1">IF($E16&lt;&gt;"Serviço","",OFFSET([1]ORÇAMENTO!P$15,ROW(E16)-ROW(E$10),0))</f>
        <v/>
      </c>
      <c r="F16" s="49">
        <v>0</v>
      </c>
      <c r="G16" s="80"/>
      <c r="H16" s="81" t="str">
        <f ca="1">IF($E16&lt;&gt;"Serviço","",IF(AUTOEVENTO="Manual",IF(#REF!=0,"&lt;-- defina o número do agrupador",OFFSET([1]EVENTOS!$D$14,#REF!,0)),OFFSET($G$10,#REF!,0)))</f>
        <v/>
      </c>
      <c r="I16" s="82">
        <f>ROUND(((I17*$T$17)+(I18*$T$18)),2)</f>
        <v>915.7</v>
      </c>
      <c r="J16" s="82">
        <f t="shared" ref="J16:O16" si="4">ROUND(((J17*$T$17)+(J18*$T$18)),2)</f>
        <v>1945.32</v>
      </c>
      <c r="K16" s="82">
        <f t="shared" si="4"/>
        <v>1131.0999999999999</v>
      </c>
      <c r="L16" s="82">
        <f t="shared" si="4"/>
        <v>3216.91</v>
      </c>
      <c r="M16" s="82">
        <f t="shared" si="4"/>
        <v>4353.54</v>
      </c>
      <c r="N16" s="82">
        <f t="shared" si="4"/>
        <v>4838.4399999999996</v>
      </c>
      <c r="O16" s="82">
        <f t="shared" si="4"/>
        <v>4729.6899999999996</v>
      </c>
      <c r="P16" s="96"/>
      <c r="Q16" s="85"/>
      <c r="R16" s="168">
        <f>SUM(I16:O16)</f>
        <v>21130.699999999997</v>
      </c>
      <c r="V16" s="84">
        <f t="shared" si="3"/>
        <v>0</v>
      </c>
      <c r="X16" s="168">
        <f>O16+N16</f>
        <v>9568.1299999999992</v>
      </c>
      <c r="Y16" s="168">
        <f>M16+L16</f>
        <v>7570.45</v>
      </c>
      <c r="Z16" s="168">
        <f>J16+I16+K16</f>
        <v>3992.12</v>
      </c>
    </row>
    <row r="17" spans="1:26" ht="168" customHeight="1" x14ac:dyDescent="0.25">
      <c r="A17" s="94"/>
      <c r="B17" s="90" t="s">
        <v>55</v>
      </c>
      <c r="C17" s="71" t="str">
        <f>ORÇAMENTO!B18</f>
        <v>1.3.1</v>
      </c>
      <c r="D17" s="91" t="str">
        <f>ORÇAMENTO!E18</f>
        <v>EXECUÇÃO DE PINTURA DE LIGAÇÃO COM EMULSÃO ASFÁLTICA RR-2C.</v>
      </c>
      <c r="E17" s="72" t="str">
        <f>ORÇAMENTO!F18</f>
        <v>M²</v>
      </c>
      <c r="F17" s="56">
        <f>SUM(I17:O17)</f>
        <v>6792.43</v>
      </c>
      <c r="G17" s="73" t="s">
        <v>181</v>
      </c>
      <c r="H17" s="74" t="str">
        <f t="shared" ref="H17:H23" si="5">$D$16</f>
        <v>PINTURA DE LIGAÇÃO</v>
      </c>
      <c r="I17" s="126">
        <v>294.35000000000002</v>
      </c>
      <c r="J17" s="126">
        <v>625.32000000000005</v>
      </c>
      <c r="K17" s="126">
        <v>363.59</v>
      </c>
      <c r="L17" s="126">
        <v>1034.07</v>
      </c>
      <c r="M17" s="126">
        <v>1399.44</v>
      </c>
      <c r="N17" s="126">
        <v>1555.31</v>
      </c>
      <c r="O17" s="126">
        <v>1520.35</v>
      </c>
      <c r="P17" s="96"/>
      <c r="Q17" s="85"/>
      <c r="T17" s="84">
        <f>ORÇAMENTO!I18</f>
        <v>2.95</v>
      </c>
      <c r="V17" s="84">
        <f t="shared" si="3"/>
        <v>20037.669999999998</v>
      </c>
    </row>
    <row r="18" spans="1:26" ht="270" customHeight="1" x14ac:dyDescent="0.25">
      <c r="A18" s="94"/>
      <c r="B18" s="90" t="s">
        <v>55</v>
      </c>
      <c r="C18" s="71" t="str">
        <f>ORÇAMENTO!B19</f>
        <v>1.3.2</v>
      </c>
      <c r="D18" s="91" t="str">
        <f>ORÇAMENTO!E19</f>
        <v>TRANSPORTE COM CAMINHÃO TANQUE DE TRANSPORTE DE MATERIAL ASFÁLTICO DE 30000 L, EM VIA URBANAPAVIMENTADA, ADICIONAL PARA DMT EXCEDENTE A 30 KM (UNIDADE: TXKM). AF_07/2020 (EMULSÃO ASFÁLTICA RR-2C PARA SERVIÇO DE PINTURA DE LIGAÇÃO - REFINARIA&gt;OBRA  - DMT EXCEDENTE 30,00KM - DMT TOTAL ATÉ 447,00KM)</v>
      </c>
      <c r="E18" s="72" t="str">
        <f>ORÇAMENTO!F19</f>
        <v>TxKM</v>
      </c>
      <c r="F18" s="56">
        <f>SUM(I18:O18)</f>
        <v>1518.1000000000001</v>
      </c>
      <c r="G18" s="73" t="s">
        <v>182</v>
      </c>
      <c r="H18" s="74" t="str">
        <f t="shared" si="5"/>
        <v>PINTURA DE LIGAÇÃO</v>
      </c>
      <c r="I18" s="126">
        <f>ROUND(I17*0.0005*447,2)</f>
        <v>65.790000000000006</v>
      </c>
      <c r="J18" s="126">
        <f t="shared" ref="J18:O18" si="6">ROUND(J17*0.0005*447,2)</f>
        <v>139.76</v>
      </c>
      <c r="K18" s="126">
        <f t="shared" si="6"/>
        <v>81.260000000000005</v>
      </c>
      <c r="L18" s="126">
        <f t="shared" si="6"/>
        <v>231.11</v>
      </c>
      <c r="M18" s="126">
        <f t="shared" si="6"/>
        <v>312.77</v>
      </c>
      <c r="N18" s="126">
        <f t="shared" si="6"/>
        <v>347.61</v>
      </c>
      <c r="O18" s="126">
        <f t="shared" si="6"/>
        <v>339.8</v>
      </c>
      <c r="P18" s="96"/>
      <c r="Q18" s="85"/>
      <c r="T18" s="84">
        <f>ORÇAMENTO!I19</f>
        <v>0.72</v>
      </c>
      <c r="V18" s="84">
        <f t="shared" si="3"/>
        <v>1093.03</v>
      </c>
    </row>
    <row r="19" spans="1:26" x14ac:dyDescent="0.25">
      <c r="A19" s="94"/>
      <c r="B19" s="83" t="s">
        <v>56</v>
      </c>
      <c r="C19" s="78" t="str">
        <f>ORÇAMENTO!B20</f>
        <v>1.4</v>
      </c>
      <c r="D19" s="89" t="str">
        <f>ORÇAMENTO!E20</f>
        <v>RECAPEAMENTO</v>
      </c>
      <c r="E19" s="79" t="str">
        <f ca="1">IF($E19&lt;&gt;"Serviço","",OFFSET([1]ORÇAMENTO!P$15,ROW(E19)-ROW(E$10),0))</f>
        <v/>
      </c>
      <c r="F19" s="49">
        <v>0</v>
      </c>
      <c r="G19" s="80"/>
      <c r="H19" s="81" t="str">
        <f ca="1">IF($E19&lt;&gt;"Serviço","",IF(AUTOEVENTO="Manual",IF(#REF!=0,"&lt;-- defina o número do agrupador",OFFSET([1]EVENTOS!$D$14,#REF!,0)),OFFSET($G$10,#REF!,0)))</f>
        <v/>
      </c>
      <c r="I19" s="82">
        <f>ROUND(((I20*$T$20)+(I21*$T$21)),2)</f>
        <v>14133.35</v>
      </c>
      <c r="J19" s="82">
        <f t="shared" ref="J19:O19" si="7">ROUND(((J20*$T$20)+(J21*$T$21)),2)</f>
        <v>30018.37</v>
      </c>
      <c r="K19" s="82">
        <f t="shared" si="7"/>
        <v>17444.73</v>
      </c>
      <c r="L19" s="82">
        <f t="shared" si="7"/>
        <v>49622.69</v>
      </c>
      <c r="M19" s="82">
        <f t="shared" si="7"/>
        <v>67163.399999999994</v>
      </c>
      <c r="N19" s="82">
        <f t="shared" si="7"/>
        <v>74650</v>
      </c>
      <c r="O19" s="82">
        <f t="shared" si="7"/>
        <v>109443.48</v>
      </c>
      <c r="P19" s="96"/>
      <c r="Q19" s="85"/>
      <c r="R19" s="168">
        <f>SUM(I19:O19)</f>
        <v>362476.01999999996</v>
      </c>
      <c r="V19" s="84">
        <f t="shared" ref="V19" si="8">ROUND(F19*T19,2)</f>
        <v>0</v>
      </c>
      <c r="X19" s="168">
        <f>O19+N19</f>
        <v>184093.47999999998</v>
      </c>
      <c r="Y19" s="168">
        <f>M19+L19</f>
        <v>116786.09</v>
      </c>
      <c r="Z19" s="168">
        <f>J19+I19+K19</f>
        <v>61596.45</v>
      </c>
    </row>
    <row r="20" spans="1:26" ht="255" customHeight="1" x14ac:dyDescent="0.25">
      <c r="A20" s="94"/>
      <c r="B20" s="90" t="s">
        <v>55</v>
      </c>
      <c r="C20" s="71" t="str">
        <f>ORÇAMENTO!B21</f>
        <v>1.4.1</v>
      </c>
      <c r="D20" s="91" t="str">
        <f>ORÇAMENTO!E21</f>
        <v>EXECUÇÃO E APLICAÇÃO DE CONCRETO BETUMINOSO USINADO A QUENTE (CBUQ), MASSA COMERCIAL, INCLUINDO FORNECIMENTO E TRANSPORTE DOS AGREGADOS E MATERIAL BETUMINOSO, EXCLUSIVE TRANSPORTE DA MASSA ASFÁLTICA ATÉ A PISTA</v>
      </c>
      <c r="E20" s="72" t="str">
        <f>ORÇAMENTO!F21</f>
        <v>M³</v>
      </c>
      <c r="F20" s="56">
        <f>SUM(I20:O20)</f>
        <v>151.06</v>
      </c>
      <c r="G20" s="73" t="s">
        <v>184</v>
      </c>
      <c r="H20" s="74" t="str">
        <f>$D$16</f>
        <v>PINTURA DE LIGAÇÃO</v>
      </c>
      <c r="I20" s="126">
        <f>ROUND(I17*0.02,2)</f>
        <v>5.89</v>
      </c>
      <c r="J20" s="126">
        <f t="shared" ref="J20:N20" si="9">ROUND(J17*0.02,2)</f>
        <v>12.51</v>
      </c>
      <c r="K20" s="126">
        <f t="shared" si="9"/>
        <v>7.27</v>
      </c>
      <c r="L20" s="126">
        <f t="shared" si="9"/>
        <v>20.68</v>
      </c>
      <c r="M20" s="126">
        <f t="shared" si="9"/>
        <v>27.99</v>
      </c>
      <c r="N20" s="126">
        <f t="shared" si="9"/>
        <v>31.11</v>
      </c>
      <c r="O20" s="126">
        <f>ROUND(O17*0.03,2)</f>
        <v>45.61</v>
      </c>
      <c r="P20" s="96"/>
      <c r="Q20" s="85"/>
      <c r="T20" s="84">
        <f>ORÇAMENTO!I21</f>
        <v>2307.39</v>
      </c>
      <c r="V20" s="84">
        <f t="shared" si="3"/>
        <v>348554.33</v>
      </c>
    </row>
    <row r="21" spans="1:26" ht="270" customHeight="1" x14ac:dyDescent="0.25">
      <c r="A21" s="94"/>
      <c r="B21" s="90" t="s">
        <v>55</v>
      </c>
      <c r="C21" s="71" t="str">
        <f>ORÇAMENTO!B22</f>
        <v>1.4.2</v>
      </c>
      <c r="D21" s="91" t="str">
        <f>ORÇAMENTO!E22</f>
        <v>TRANSPORTE COM CAMINHÃO BASCULANTE DE 10 M³, EM VIA URBANA PAVIMENTADA, ADICIONAL PARA DMT EXCEDENTE A 30 KM (UNIDADE: M3XKM). AF_07/2020 (MASSA CBUQ - USINA&gt;OBRA - DMT EXCEDENTE 72,00KM)</v>
      </c>
      <c r="E21" s="72" t="str">
        <f>ORÇAMENTO!F22</f>
        <v>M³xKM</v>
      </c>
      <c r="F21" s="56">
        <f>SUM(I21:O21)</f>
        <v>10876.32</v>
      </c>
      <c r="G21" s="73" t="s">
        <v>183</v>
      </c>
      <c r="H21" s="74" t="str">
        <f t="shared" si="5"/>
        <v>PINTURA DE LIGAÇÃO</v>
      </c>
      <c r="I21" s="126">
        <f>ROUND(I20*72,2)</f>
        <v>424.08</v>
      </c>
      <c r="J21" s="126">
        <f t="shared" ref="J21:O21" si="10">ROUND(J20*72,2)</f>
        <v>900.72</v>
      </c>
      <c r="K21" s="126">
        <f t="shared" si="10"/>
        <v>523.44000000000005</v>
      </c>
      <c r="L21" s="126">
        <f t="shared" si="10"/>
        <v>1488.96</v>
      </c>
      <c r="M21" s="126">
        <f t="shared" si="10"/>
        <v>2015.28</v>
      </c>
      <c r="N21" s="126">
        <f t="shared" si="10"/>
        <v>2239.92</v>
      </c>
      <c r="O21" s="126">
        <f t="shared" si="10"/>
        <v>3283.92</v>
      </c>
      <c r="P21" s="96"/>
      <c r="Q21" s="85"/>
      <c r="T21" s="84">
        <f>ORÇAMENTO!I22</f>
        <v>1.28</v>
      </c>
      <c r="V21" s="84">
        <f t="shared" si="3"/>
        <v>13921.69</v>
      </c>
    </row>
    <row r="22" spans="1:26" x14ac:dyDescent="0.25">
      <c r="A22" s="94"/>
      <c r="B22" s="83" t="s">
        <v>56</v>
      </c>
      <c r="C22" s="78" t="str">
        <f>ORÇAMENTO!B23</f>
        <v>1.4</v>
      </c>
      <c r="D22" s="89" t="str">
        <f>ORÇAMENTO!E23</f>
        <v>DRENAGEM</v>
      </c>
      <c r="E22" s="79" t="str">
        <f ca="1">IF($E22&lt;&gt;"Serviço","",OFFSET([1]ORÇAMENTO!P$15,ROW(E22)-ROW(E$10),0))</f>
        <v/>
      </c>
      <c r="F22" s="49">
        <v>0</v>
      </c>
      <c r="G22" s="80"/>
      <c r="H22" s="81" t="str">
        <f ca="1">IF($E22&lt;&gt;"Serviço","",IF(AUTOEVENTO="Manual",IF(#REF!=0,"&lt;-- defina o número do agrupador",OFFSET([1]EVENTOS!$D$14,#REF!,0)),OFFSET($G$10,#REF!,0)))</f>
        <v/>
      </c>
      <c r="I22" s="82">
        <f>ROUND(((I23*$T$23)),2)</f>
        <v>5967.33</v>
      </c>
      <c r="J22" s="82">
        <f t="shared" ref="J22:O22" si="11">ROUND(((J23*$T$23)),2)</f>
        <v>12322.05</v>
      </c>
      <c r="K22" s="82">
        <f t="shared" si="11"/>
        <v>4150.3999999999996</v>
      </c>
      <c r="L22" s="82">
        <f t="shared" si="11"/>
        <v>21786.86</v>
      </c>
      <c r="M22" s="82">
        <f t="shared" si="11"/>
        <v>24486.880000000001</v>
      </c>
      <c r="N22" s="82">
        <f t="shared" si="11"/>
        <v>14256.34</v>
      </c>
      <c r="O22" s="82">
        <f t="shared" si="11"/>
        <v>19862.09</v>
      </c>
      <c r="P22" s="96"/>
      <c r="Q22" s="85"/>
      <c r="R22" s="168">
        <f>SUM(I22:O22)</f>
        <v>102831.95</v>
      </c>
      <c r="V22" s="84">
        <f t="shared" si="3"/>
        <v>0</v>
      </c>
      <c r="X22" s="168">
        <f>O22+N22</f>
        <v>34118.43</v>
      </c>
      <c r="Y22" s="168">
        <f>M22+L22</f>
        <v>46273.740000000005</v>
      </c>
      <c r="Z22" s="168">
        <f>J22+I22+K22</f>
        <v>22439.78</v>
      </c>
    </row>
    <row r="23" spans="1:26" ht="285" x14ac:dyDescent="0.25">
      <c r="A23" s="94"/>
      <c r="B23" s="90" t="s">
        <v>55</v>
      </c>
      <c r="C23" s="71" t="str">
        <f>ORÇAMENTO!B24</f>
        <v>1.5.1</v>
      </c>
      <c r="D23" s="91" t="str">
        <f>ORÇAMENTO!E24</f>
        <v>EXECUÇÃO DE SARJETA DE CONCRETO USINADO, MOLDADA IN LOCO EM TRECHO RETO, 30 CM BASE X 10 CM ALTURA. AF_01/2024</v>
      </c>
      <c r="E23" s="72" t="str">
        <f>ORÇAMENTO!F24</f>
        <v>M</v>
      </c>
      <c r="F23" s="56">
        <f>SUM(I23:O23)</f>
        <v>2269.52</v>
      </c>
      <c r="G23" s="73" t="s">
        <v>180</v>
      </c>
      <c r="H23" s="74" t="str">
        <f t="shared" si="5"/>
        <v>PINTURA DE LIGAÇÃO</v>
      </c>
      <c r="I23" s="75">
        <f>66+65.7</f>
        <v>131.69999999999999</v>
      </c>
      <c r="J23" s="75">
        <f>140.4+13.75+117.8</f>
        <v>271.95</v>
      </c>
      <c r="K23" s="75">
        <f>28.23+55.28+8.09</f>
        <v>91.600000000000009</v>
      </c>
      <c r="L23" s="75">
        <f>238.66+242.18</f>
        <v>480.84000000000003</v>
      </c>
      <c r="M23" s="75">
        <f>270.43+270</f>
        <v>540.43000000000006</v>
      </c>
      <c r="N23" s="75">
        <f>14.74+60.68+51.11+49.66+62.01+41.58+34.86</f>
        <v>314.64</v>
      </c>
      <c r="O23" s="75">
        <f>69.87+139.23+9.41+10.16+209.69</f>
        <v>438.36</v>
      </c>
      <c r="P23" s="96"/>
      <c r="Q23" s="85"/>
      <c r="T23" s="84">
        <f>ORÇAMENTO!I24</f>
        <v>45.31</v>
      </c>
      <c r="V23" s="84">
        <f t="shared" si="3"/>
        <v>102831.95</v>
      </c>
    </row>
    <row r="24" spans="1:26" x14ac:dyDescent="0.25">
      <c r="A24" s="94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96"/>
      <c r="Q24" s="85"/>
    </row>
    <row r="25" spans="1:26" x14ac:dyDescent="0.25">
      <c r="A25" s="9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96"/>
      <c r="Q25" s="85"/>
    </row>
    <row r="26" spans="1:26" x14ac:dyDescent="0.25">
      <c r="A26" s="9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96"/>
      <c r="Q26" s="85"/>
    </row>
    <row r="27" spans="1:26" x14ac:dyDescent="0.25">
      <c r="A27" s="9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96"/>
      <c r="Q27" s="85"/>
    </row>
    <row r="28" spans="1:26" x14ac:dyDescent="0.25">
      <c r="A28" s="94"/>
      <c r="B28" s="246" t="str">
        <f>CRONOGRAMA!B21</f>
        <v>SÃO JOÃO DA LAGOA</v>
      </c>
      <c r="C28" s="246"/>
      <c r="D28" s="246"/>
      <c r="E28" s="85"/>
      <c r="F28" s="85"/>
      <c r="G28" s="85"/>
      <c r="H28" s="229"/>
      <c r="I28" s="229"/>
      <c r="J28" s="229"/>
      <c r="K28" s="229"/>
      <c r="L28" s="229"/>
      <c r="M28" s="229"/>
      <c r="N28" s="229"/>
      <c r="O28" s="229"/>
      <c r="P28" s="96"/>
      <c r="Q28" s="85"/>
    </row>
    <row r="29" spans="1:26" x14ac:dyDescent="0.25">
      <c r="A29" s="94"/>
      <c r="B29" s="250" t="s">
        <v>25</v>
      </c>
      <c r="C29" s="250"/>
      <c r="D29" s="250"/>
      <c r="E29" s="85"/>
      <c r="F29" s="85"/>
      <c r="G29" s="85"/>
      <c r="H29" s="63" t="s">
        <v>27</v>
      </c>
      <c r="I29" s="63"/>
      <c r="J29" s="123"/>
      <c r="K29" s="123"/>
      <c r="L29" s="123"/>
      <c r="M29" s="123"/>
      <c r="N29" s="123"/>
      <c r="O29" s="123"/>
      <c r="P29" s="96"/>
      <c r="Q29" s="85"/>
    </row>
    <row r="30" spans="1:26" x14ac:dyDescent="0.2">
      <c r="A30" s="94"/>
      <c r="B30" s="248"/>
      <c r="C30" s="248"/>
      <c r="D30" s="248"/>
      <c r="E30" s="85"/>
      <c r="F30" s="85"/>
      <c r="G30" s="85"/>
      <c r="H30" s="15" t="s">
        <v>28</v>
      </c>
      <c r="I30" s="187" t="str">
        <f>CRONOGRAMA!G23</f>
        <v>LEONARDO PETERSON AMARAL LIMA</v>
      </c>
      <c r="J30" s="187"/>
      <c r="K30" s="187"/>
      <c r="L30" s="187"/>
      <c r="M30" s="187"/>
      <c r="N30" s="187"/>
      <c r="O30" s="187"/>
      <c r="P30" s="96"/>
      <c r="Q30" s="85"/>
    </row>
    <row r="31" spans="1:26" x14ac:dyDescent="0.2">
      <c r="A31" s="94"/>
      <c r="B31" s="249" t="str">
        <f>CRONOGRAMA!B24</f>
        <v>segunda-feira, 06 de Abril de 2026</v>
      </c>
      <c r="C31" s="249"/>
      <c r="D31" s="249"/>
      <c r="E31" s="85"/>
      <c r="F31" s="85"/>
      <c r="G31" s="85"/>
      <c r="H31" s="15" t="s">
        <v>29</v>
      </c>
      <c r="I31" s="187" t="str">
        <f>CRONOGRAMA!G24</f>
        <v>331.073/D</v>
      </c>
      <c r="J31" s="187"/>
      <c r="K31" s="187"/>
      <c r="L31" s="187"/>
      <c r="M31" s="187"/>
      <c r="N31" s="187"/>
      <c r="O31" s="187"/>
      <c r="P31" s="96"/>
      <c r="Q31" s="85"/>
    </row>
    <row r="32" spans="1:26" x14ac:dyDescent="0.2">
      <c r="A32" s="94"/>
      <c r="B32" s="250" t="s">
        <v>26</v>
      </c>
      <c r="C32" s="250"/>
      <c r="D32" s="250"/>
      <c r="E32" s="85"/>
      <c r="F32" s="85"/>
      <c r="H32" s="15" t="s">
        <v>30</v>
      </c>
      <c r="I32" s="187" t="str">
        <f>CRONOGRAMA!G25</f>
        <v>MG20264931327</v>
      </c>
      <c r="J32" s="187"/>
      <c r="K32" s="187"/>
      <c r="L32" s="187"/>
      <c r="M32" s="187"/>
      <c r="N32" s="187"/>
      <c r="O32" s="187"/>
      <c r="P32" s="96"/>
      <c r="Q32" s="85"/>
    </row>
    <row r="33" spans="1:17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  <c r="Q33" s="85"/>
    </row>
  </sheetData>
  <mergeCells count="17">
    <mergeCell ref="B30:D30"/>
    <mergeCell ref="B31:D31"/>
    <mergeCell ref="B32:D32"/>
    <mergeCell ref="B29:D29"/>
    <mergeCell ref="I30:O30"/>
    <mergeCell ref="I31:O31"/>
    <mergeCell ref="I32:O32"/>
    <mergeCell ref="B2:O2"/>
    <mergeCell ref="B3:O3"/>
    <mergeCell ref="C10:G10"/>
    <mergeCell ref="B6:D6"/>
    <mergeCell ref="H28:O28"/>
    <mergeCell ref="B28:D28"/>
    <mergeCell ref="B5:D5"/>
    <mergeCell ref="E5:O5"/>
    <mergeCell ref="E6:O6"/>
    <mergeCell ref="B24:O24"/>
  </mergeCells>
  <phoneticPr fontId="14" type="noConversion"/>
  <conditionalFormatting sqref="H9:H23">
    <cfRule type="expression" dxfId="12" priority="55" stopIfTrue="1">
      <formula>OR(#REF!=0,#REF!=2,#REF!=3,#REF!=4)</formula>
    </cfRule>
    <cfRule type="expression" dxfId="11" priority="56" stopIfTrue="1">
      <formula>#REF!=1</formula>
    </cfRule>
  </conditionalFormatting>
  <conditionalFormatting sqref="H19:O19 H22:O23 H9:O14 H15 H16:O16 H17:H18 H20:H21">
    <cfRule type="expression" dxfId="10" priority="54" stopIfTrue="1">
      <formula>ACOMPANHAMENTO="BM"</formula>
    </cfRule>
  </conditionalFormatting>
  <conditionalFormatting sqref="I9:O14 I16:O16 I23:O23">
    <cfRule type="expression" dxfId="9" priority="75" stopIfTrue="1">
      <formula>AND(#REF!&lt;&gt;".",OR(#REF!=0,#REF!=2,#REF!=3,#REF!=4,AND(#REF!="",#REF!&lt;&gt;"Empty"),OFFSET(#REF!,0,-1)=""))</formula>
    </cfRule>
    <cfRule type="expression" dxfId="8" priority="76" stopIfTrue="1">
      <formula>AND(#REF!=1,#REF!&lt;&gt;".")</formula>
    </cfRule>
  </conditionalFormatting>
  <conditionalFormatting sqref="I15:O15">
    <cfRule type="expression" dxfId="7" priority="5" stopIfTrue="1">
      <formula>$B15=1</formula>
    </cfRule>
    <cfRule type="expression" dxfId="6" priority="6" stopIfTrue="1">
      <formula>OR($B15=0,$B15=2,$B15=3,$B15=4)</formula>
    </cfRule>
  </conditionalFormatting>
  <conditionalFormatting sqref="I17:O18 I20:O21">
    <cfRule type="expression" dxfId="5" priority="7" stopIfTrue="1">
      <formula>$B17=1</formula>
    </cfRule>
    <cfRule type="expression" dxfId="4" priority="8" stopIfTrue="1">
      <formula>OR($B17=0,$B17=2,$B17=3,$B17=4)</formula>
    </cfRule>
  </conditionalFormatting>
  <conditionalFormatting sqref="I19:O19">
    <cfRule type="expression" dxfId="3" priority="3" stopIfTrue="1">
      <formula>AND(#REF!&lt;&gt;".",OR(#REF!=0,#REF!=2,#REF!=3,#REF!=4,AND(#REF!="",#REF!&lt;&gt;"Empty"),OFFSET(#REF!,0,-1)=""))</formula>
    </cfRule>
    <cfRule type="expression" dxfId="2" priority="4" stopIfTrue="1">
      <formula>AND(#REF!=1,#REF!&lt;&gt;".")</formula>
    </cfRule>
  </conditionalFormatting>
  <conditionalFormatting sqref="I22:O22">
    <cfRule type="expression" dxfId="1" priority="1" stopIfTrue="1">
      <formula>AND(#REF!&lt;&gt;".",OR(#REF!=0,#REF!=2,#REF!=3,#REF!=4,AND(#REF!="",#REF!&lt;&gt;"Empty"),OFFSET(#REF!,0,-1)=""))</formula>
    </cfRule>
    <cfRule type="expression" dxfId="0" priority="2" stopIfTrue="1">
      <formula>AND(#REF!=1,#REF!&lt;&gt;".")</formula>
    </cfRule>
  </conditionalFormatting>
  <dataValidations xWindow="1165" yWindow="722" count="3">
    <dataValidation type="decimal" operator="greaterThan" allowBlank="1" showErrorMessage="1" error="Apenas números decimais maiores que zero." sqref="I11:O14 I22:O23 I19:O19 I16:O16" xr:uid="{E9188EB6-2007-4427-9BBE-81B451B70A7E}">
      <formula1>0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I15:O15 I17:O18 I20:O21" xr:uid="{F5F887BC-932C-4BAC-9512-24F43A43A83A}"/>
    <dataValidation allowBlank="1" showInputMessage="1" showErrorMessage="1" prompt="A quantidade é digitada nas colunas Q em diante, após preencher o nome das frentes de obra na célula Q12 em diante" sqref="F11:F23" xr:uid="{4B8BADBF-1D78-4CCB-B7D4-4F6F0027C514}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1CCC-0748-4F82-9A9D-91CE392BAC19}">
  <dimension ref="B2:J85"/>
  <sheetViews>
    <sheetView topLeftCell="A31" workbookViewId="0">
      <selection activeCell="N45" sqref="N45"/>
    </sheetView>
  </sheetViews>
  <sheetFormatPr defaultRowHeight="15" x14ac:dyDescent="0.25"/>
  <cols>
    <col min="2" max="2" width="2.5703125" customWidth="1"/>
    <col min="3" max="3" width="42.140625" customWidth="1"/>
    <col min="4" max="4" width="15" customWidth="1"/>
    <col min="5" max="5" width="12.42578125" customWidth="1"/>
    <col min="6" max="6" width="12.5703125" customWidth="1"/>
    <col min="7" max="7" width="12.140625" customWidth="1"/>
    <col min="8" max="8" width="17.5703125" customWidth="1"/>
    <col min="9" max="9" width="13.42578125" customWidth="1"/>
    <col min="10" max="10" width="2.28515625" customWidth="1"/>
    <col min="12" max="12" width="15.5703125" customWidth="1"/>
    <col min="13" max="13" width="12.5703125" customWidth="1"/>
    <col min="15" max="15" width="49.85546875" customWidth="1"/>
    <col min="16" max="16" width="12.5703125" customWidth="1"/>
    <col min="17" max="17" width="14.28515625" customWidth="1"/>
    <col min="18" max="18" width="17.5703125" customWidth="1"/>
  </cols>
  <sheetData>
    <row r="2" spans="2:10" x14ac:dyDescent="0.25">
      <c r="B2" s="260"/>
      <c r="C2" s="261"/>
      <c r="D2" s="261"/>
      <c r="E2" s="261"/>
      <c r="F2" s="261"/>
      <c r="G2" s="261"/>
      <c r="H2" s="261"/>
      <c r="I2" s="261"/>
      <c r="J2" s="262"/>
    </row>
    <row r="3" spans="2:10" x14ac:dyDescent="0.25">
      <c r="B3" s="275"/>
      <c r="C3" s="274" t="s">
        <v>167</v>
      </c>
      <c r="D3" s="274"/>
      <c r="E3" s="274"/>
      <c r="F3" s="274"/>
      <c r="G3" s="274"/>
      <c r="H3" s="274"/>
      <c r="I3" s="274"/>
      <c r="J3" s="277"/>
    </row>
    <row r="4" spans="2:10" x14ac:dyDescent="0.25">
      <c r="B4" s="275"/>
      <c r="C4" s="149" t="s">
        <v>2</v>
      </c>
      <c r="D4" s="268" t="s">
        <v>42</v>
      </c>
      <c r="E4" s="269"/>
      <c r="F4" s="269"/>
      <c r="G4" s="269"/>
      <c r="H4" s="269"/>
      <c r="I4" s="270"/>
      <c r="J4" s="277"/>
    </row>
    <row r="5" spans="2:10" ht="20.25" customHeight="1" x14ac:dyDescent="0.25">
      <c r="B5" s="275"/>
      <c r="C5" s="159" t="str">
        <f>ORÇAMENTO!B5</f>
        <v>PREFEITURA MUNICIPAL DE SÃO JOÃO DA LAGOA</v>
      </c>
      <c r="D5" s="271" t="str">
        <f>ORÇAMENTO!E5</f>
        <v>RECAPEAMENTO ASFÁLTICO EM CBUQ EM DIVERSAS VIAS URBANAS DO MUNICÍPIO DE SÃO JOÃO DA LAGOA/MG</v>
      </c>
      <c r="E5" s="272"/>
      <c r="F5" s="272"/>
      <c r="G5" s="272"/>
      <c r="H5" s="272"/>
      <c r="I5" s="273"/>
      <c r="J5" s="277"/>
    </row>
    <row r="6" spans="2:10" x14ac:dyDescent="0.25">
      <c r="B6" s="275"/>
      <c r="C6" s="160"/>
      <c r="D6" s="160"/>
      <c r="E6" s="161"/>
      <c r="F6" s="161"/>
      <c r="G6" s="160"/>
      <c r="H6" s="160"/>
      <c r="I6" s="160"/>
      <c r="J6" s="277"/>
    </row>
    <row r="7" spans="2:10" ht="15" customHeight="1" x14ac:dyDescent="0.25">
      <c r="B7" s="275"/>
      <c r="C7" s="162" t="s">
        <v>42</v>
      </c>
      <c r="D7" s="263" t="s">
        <v>86</v>
      </c>
      <c r="E7" s="264"/>
      <c r="F7" s="263" t="s">
        <v>45</v>
      </c>
      <c r="G7" s="267"/>
      <c r="H7" s="163" t="s">
        <v>60</v>
      </c>
      <c r="I7" s="164" t="s">
        <v>87</v>
      </c>
      <c r="J7" s="277"/>
    </row>
    <row r="8" spans="2:10" ht="30.75" customHeight="1" x14ac:dyDescent="0.25">
      <c r="B8" s="275"/>
      <c r="C8" s="165" t="str">
        <f>D5</f>
        <v>RECAPEAMENTO ASFÁLTICO EM CBUQ EM DIVERSAS VIAS URBANAS DO MUNICÍPIO DE SÃO JOÃO DA LAGOA/MG</v>
      </c>
      <c r="D8" s="265" t="s">
        <v>165</v>
      </c>
      <c r="E8" s="266"/>
      <c r="F8" s="265" t="s">
        <v>166</v>
      </c>
      <c r="G8" s="279"/>
      <c r="H8" s="166" t="s">
        <v>59</v>
      </c>
      <c r="I8" s="167" t="str">
        <f>BDI!J29</f>
        <v>BDI PAD</v>
      </c>
      <c r="J8" s="277"/>
    </row>
    <row r="9" spans="2:10" ht="12.75" customHeight="1" x14ac:dyDescent="0.25">
      <c r="B9" s="275"/>
      <c r="C9" s="280"/>
      <c r="D9" s="280"/>
      <c r="E9" s="280"/>
      <c r="F9" s="280"/>
      <c r="G9" s="280"/>
      <c r="H9" s="280"/>
      <c r="I9" s="280"/>
      <c r="J9" s="277"/>
    </row>
    <row r="10" spans="2:10" x14ac:dyDescent="0.25">
      <c r="B10" s="275"/>
      <c r="C10" s="252" t="s">
        <v>117</v>
      </c>
      <c r="D10" s="252"/>
      <c r="E10" s="252"/>
      <c r="F10" s="252"/>
      <c r="G10" s="252"/>
      <c r="H10" s="252"/>
      <c r="I10" s="252"/>
      <c r="J10" s="277"/>
    </row>
    <row r="11" spans="2:10" ht="24" x14ac:dyDescent="0.25">
      <c r="B11" s="275"/>
      <c r="C11" s="253" t="s">
        <v>118</v>
      </c>
      <c r="D11" s="253"/>
      <c r="E11" s="253"/>
      <c r="F11" s="136" t="s">
        <v>119</v>
      </c>
      <c r="G11" s="136" t="s">
        <v>120</v>
      </c>
      <c r="H11" s="136" t="s">
        <v>121</v>
      </c>
      <c r="I11" s="136" t="s">
        <v>122</v>
      </c>
      <c r="J11" s="277"/>
    </row>
    <row r="12" spans="2:10" ht="24" x14ac:dyDescent="0.25">
      <c r="B12" s="275"/>
      <c r="C12" s="254" t="s">
        <v>123</v>
      </c>
      <c r="D12" s="254"/>
      <c r="E12" s="254"/>
      <c r="F12" s="137" t="s">
        <v>163</v>
      </c>
      <c r="G12" s="138" t="s">
        <v>124</v>
      </c>
      <c r="H12" s="138" t="s">
        <v>161</v>
      </c>
      <c r="I12" s="139">
        <v>46107</v>
      </c>
      <c r="J12" s="277"/>
    </row>
    <row r="13" spans="2:10" x14ac:dyDescent="0.25">
      <c r="B13" s="275"/>
      <c r="C13" s="255"/>
      <c r="D13" s="255"/>
      <c r="E13" s="255"/>
      <c r="F13" s="255"/>
      <c r="G13" s="255"/>
      <c r="H13" s="255"/>
      <c r="I13" s="255"/>
      <c r="J13" s="277"/>
    </row>
    <row r="14" spans="2:10" x14ac:dyDescent="0.25">
      <c r="B14" s="275"/>
      <c r="C14" s="140" t="s">
        <v>125</v>
      </c>
      <c r="D14" s="141" t="s">
        <v>119</v>
      </c>
      <c r="E14" s="141" t="s">
        <v>126</v>
      </c>
      <c r="F14" s="141" t="s">
        <v>120</v>
      </c>
      <c r="G14" s="141" t="s">
        <v>127</v>
      </c>
      <c r="H14" s="141" t="s">
        <v>128</v>
      </c>
      <c r="I14" s="141" t="s">
        <v>129</v>
      </c>
      <c r="J14" s="277"/>
    </row>
    <row r="15" spans="2:10" ht="72" x14ac:dyDescent="0.25">
      <c r="B15" s="275"/>
      <c r="C15" s="142" t="s">
        <v>130</v>
      </c>
      <c r="D15" s="138">
        <v>91486</v>
      </c>
      <c r="E15" s="138" t="s">
        <v>89</v>
      </c>
      <c r="F15" s="141" t="s">
        <v>131</v>
      </c>
      <c r="G15" s="138">
        <v>5.1000000000000004E-3</v>
      </c>
      <c r="H15" s="151">
        <v>74.23</v>
      </c>
      <c r="I15" s="141">
        <f>ROUND(G15*H15,2)</f>
        <v>0.38</v>
      </c>
      <c r="J15" s="277"/>
    </row>
    <row r="16" spans="2:10" ht="72" x14ac:dyDescent="0.25">
      <c r="B16" s="275"/>
      <c r="C16" s="142" t="s">
        <v>132</v>
      </c>
      <c r="D16" s="138">
        <v>83362</v>
      </c>
      <c r="E16" s="138" t="s">
        <v>89</v>
      </c>
      <c r="F16" s="141" t="s">
        <v>133</v>
      </c>
      <c r="G16" s="138">
        <v>4.0000000000000002E-4</v>
      </c>
      <c r="H16" s="151">
        <v>270.68</v>
      </c>
      <c r="I16" s="141">
        <f t="shared" ref="I16:I20" si="0">ROUND(G16*H16,2)</f>
        <v>0.11</v>
      </c>
      <c r="J16" s="277"/>
    </row>
    <row r="17" spans="2:10" ht="36" x14ac:dyDescent="0.25">
      <c r="B17" s="275"/>
      <c r="C17" s="142" t="s">
        <v>134</v>
      </c>
      <c r="D17" s="138">
        <v>89036</v>
      </c>
      <c r="E17" s="138" t="s">
        <v>89</v>
      </c>
      <c r="F17" s="141" t="s">
        <v>131</v>
      </c>
      <c r="G17" s="138">
        <v>3.8E-3</v>
      </c>
      <c r="H17" s="151">
        <v>58.01</v>
      </c>
      <c r="I17" s="141">
        <f t="shared" si="0"/>
        <v>0.22</v>
      </c>
      <c r="J17" s="277"/>
    </row>
    <row r="18" spans="2:10" ht="36" x14ac:dyDescent="0.25">
      <c r="B18" s="275"/>
      <c r="C18" s="142" t="s">
        <v>135</v>
      </c>
      <c r="D18" s="138">
        <v>89035</v>
      </c>
      <c r="E18" s="138" t="s">
        <v>89</v>
      </c>
      <c r="F18" s="141" t="s">
        <v>133</v>
      </c>
      <c r="G18" s="138">
        <v>1.6999999999999999E-3</v>
      </c>
      <c r="H18" s="151">
        <v>141.87</v>
      </c>
      <c r="I18" s="141">
        <f t="shared" si="0"/>
        <v>0.24</v>
      </c>
      <c r="J18" s="277"/>
    </row>
    <row r="19" spans="2:10" ht="48" x14ac:dyDescent="0.25">
      <c r="B19" s="275"/>
      <c r="C19" s="142" t="s">
        <v>136</v>
      </c>
      <c r="D19" s="138">
        <v>5841</v>
      </c>
      <c r="E19" s="138" t="s">
        <v>89</v>
      </c>
      <c r="F19" s="141" t="s">
        <v>131</v>
      </c>
      <c r="G19" s="138">
        <v>4.0000000000000001E-3</v>
      </c>
      <c r="H19" s="151">
        <v>4.68</v>
      </c>
      <c r="I19" s="141">
        <f t="shared" si="0"/>
        <v>0.02</v>
      </c>
      <c r="J19" s="277"/>
    </row>
    <row r="20" spans="2:10" ht="48" x14ac:dyDescent="0.25">
      <c r="B20" s="275"/>
      <c r="C20" s="142" t="s">
        <v>137</v>
      </c>
      <c r="D20" s="138">
        <v>5839</v>
      </c>
      <c r="E20" s="138" t="s">
        <v>89</v>
      </c>
      <c r="F20" s="141" t="s">
        <v>133</v>
      </c>
      <c r="G20" s="138">
        <v>2E-3</v>
      </c>
      <c r="H20" s="151">
        <v>9.31</v>
      </c>
      <c r="I20" s="141">
        <f t="shared" si="0"/>
        <v>0.02</v>
      </c>
      <c r="J20" s="277"/>
    </row>
    <row r="21" spans="2:10" x14ac:dyDescent="0.25">
      <c r="B21" s="275"/>
      <c r="C21" s="251" t="s">
        <v>138</v>
      </c>
      <c r="D21" s="251"/>
      <c r="E21" s="251"/>
      <c r="F21" s="251"/>
      <c r="G21" s="251"/>
      <c r="H21" s="251"/>
      <c r="I21" s="144">
        <f>SUM(I15:I20)</f>
        <v>0.99</v>
      </c>
      <c r="J21" s="277"/>
    </row>
    <row r="22" spans="2:10" x14ac:dyDescent="0.25">
      <c r="B22" s="275"/>
      <c r="C22" s="140" t="s">
        <v>139</v>
      </c>
      <c r="D22" s="141" t="s">
        <v>119</v>
      </c>
      <c r="E22" s="141" t="s">
        <v>126</v>
      </c>
      <c r="F22" s="141" t="s">
        <v>120</v>
      </c>
      <c r="G22" s="141" t="s">
        <v>127</v>
      </c>
      <c r="H22" s="141" t="s">
        <v>128</v>
      </c>
      <c r="I22" s="141" t="s">
        <v>129</v>
      </c>
      <c r="J22" s="277"/>
    </row>
    <row r="23" spans="2:10" ht="24" x14ac:dyDescent="0.25">
      <c r="B23" s="275"/>
      <c r="C23" s="142" t="s">
        <v>140</v>
      </c>
      <c r="D23" s="138">
        <v>88316</v>
      </c>
      <c r="E23" s="138" t="s">
        <v>89</v>
      </c>
      <c r="F23" s="141" t="s">
        <v>141</v>
      </c>
      <c r="G23" s="138">
        <v>5.4999999999999997E-3</v>
      </c>
      <c r="H23" s="141">
        <v>22.64</v>
      </c>
      <c r="I23" s="141">
        <f>ROUND(G23*H23,2)</f>
        <v>0.12</v>
      </c>
      <c r="J23" s="277"/>
    </row>
    <row r="24" spans="2:10" x14ac:dyDescent="0.25">
      <c r="B24" s="275"/>
      <c r="C24" s="251" t="s">
        <v>142</v>
      </c>
      <c r="D24" s="251"/>
      <c r="E24" s="251"/>
      <c r="F24" s="251"/>
      <c r="G24" s="251"/>
      <c r="H24" s="251"/>
      <c r="I24" s="145">
        <f>SUM(I23)</f>
        <v>0.12</v>
      </c>
      <c r="J24" s="277"/>
    </row>
    <row r="25" spans="2:10" x14ac:dyDescent="0.25">
      <c r="B25" s="275"/>
      <c r="C25" s="143" t="s">
        <v>143</v>
      </c>
      <c r="D25" s="256">
        <v>1</v>
      </c>
      <c r="E25" s="256"/>
      <c r="F25" s="251" t="s">
        <v>144</v>
      </c>
      <c r="G25" s="251"/>
      <c r="H25" s="251"/>
      <c r="I25" s="143">
        <f>SUM(I24+I21)</f>
        <v>1.1099999999999999</v>
      </c>
      <c r="J25" s="277"/>
    </row>
    <row r="26" spans="2:10" x14ac:dyDescent="0.25">
      <c r="B26" s="275"/>
      <c r="C26" s="251" t="s">
        <v>145</v>
      </c>
      <c r="D26" s="251"/>
      <c r="E26" s="251"/>
      <c r="F26" s="251" t="s">
        <v>146</v>
      </c>
      <c r="G26" s="251"/>
      <c r="H26" s="251"/>
      <c r="I26" s="143">
        <f>I25/D25</f>
        <v>1.1099999999999999</v>
      </c>
      <c r="J26" s="277"/>
    </row>
    <row r="27" spans="2:10" x14ac:dyDescent="0.25">
      <c r="B27" s="275"/>
      <c r="C27" s="140" t="s">
        <v>147</v>
      </c>
      <c r="D27" s="141" t="s">
        <v>119</v>
      </c>
      <c r="E27" s="141" t="s">
        <v>126</v>
      </c>
      <c r="F27" s="141" t="s">
        <v>120</v>
      </c>
      <c r="G27" s="141" t="s">
        <v>127</v>
      </c>
      <c r="H27" s="141" t="s">
        <v>128</v>
      </c>
      <c r="I27" s="141" t="s">
        <v>129</v>
      </c>
      <c r="J27" s="277"/>
    </row>
    <row r="28" spans="2:10" x14ac:dyDescent="0.25">
      <c r="B28" s="275"/>
      <c r="C28" s="142" t="s">
        <v>148</v>
      </c>
      <c r="D28" s="138" t="s">
        <v>149</v>
      </c>
      <c r="E28" s="138" t="s">
        <v>150</v>
      </c>
      <c r="F28" s="141" t="s">
        <v>151</v>
      </c>
      <c r="G28" s="138">
        <v>0.45</v>
      </c>
      <c r="H28" s="141">
        <v>2.65</v>
      </c>
      <c r="I28" s="141">
        <f t="shared" ref="I28" si="1">ROUND(G28*H28,2)</f>
        <v>1.19</v>
      </c>
      <c r="J28" s="277"/>
    </row>
    <row r="29" spans="2:10" x14ac:dyDescent="0.25">
      <c r="B29" s="275"/>
      <c r="C29" s="251" t="s">
        <v>152</v>
      </c>
      <c r="D29" s="251"/>
      <c r="E29" s="251"/>
      <c r="F29" s="251"/>
      <c r="G29" s="251"/>
      <c r="H29" s="251"/>
      <c r="I29" s="145">
        <f>SUM(I28:I28)</f>
        <v>1.19</v>
      </c>
      <c r="J29" s="277"/>
    </row>
    <row r="30" spans="2:10" x14ac:dyDescent="0.25">
      <c r="B30" s="275"/>
      <c r="C30" s="140" t="s">
        <v>153</v>
      </c>
      <c r="D30" s="141" t="s">
        <v>119</v>
      </c>
      <c r="E30" s="141" t="s">
        <v>126</v>
      </c>
      <c r="F30" s="141" t="s">
        <v>120</v>
      </c>
      <c r="G30" s="141" t="s">
        <v>127</v>
      </c>
      <c r="H30" s="141" t="s">
        <v>128</v>
      </c>
      <c r="I30" s="141" t="s">
        <v>129</v>
      </c>
      <c r="J30" s="277"/>
    </row>
    <row r="31" spans="2:10" ht="46.5" customHeight="1" x14ac:dyDescent="0.25">
      <c r="B31" s="275"/>
      <c r="C31" s="146"/>
      <c r="D31" s="147"/>
      <c r="E31" s="147"/>
      <c r="F31" s="146"/>
      <c r="G31" s="147"/>
      <c r="H31" s="146"/>
      <c r="I31" s="146"/>
      <c r="J31" s="277"/>
    </row>
    <row r="32" spans="2:10" x14ac:dyDescent="0.25">
      <c r="B32" s="275"/>
      <c r="C32" s="251" t="s">
        <v>154</v>
      </c>
      <c r="D32" s="251"/>
      <c r="E32" s="251"/>
      <c r="F32" s="251"/>
      <c r="G32" s="251"/>
      <c r="H32" s="251"/>
      <c r="I32" s="143">
        <v>0</v>
      </c>
      <c r="J32" s="277"/>
    </row>
    <row r="33" spans="2:10" x14ac:dyDescent="0.25">
      <c r="B33" s="275"/>
      <c r="C33" s="251" t="s">
        <v>155</v>
      </c>
      <c r="D33" s="251"/>
      <c r="E33" s="251"/>
      <c r="F33" s="251"/>
      <c r="G33" s="251"/>
      <c r="H33" s="140" t="s">
        <v>124</v>
      </c>
      <c r="I33" s="148">
        <f>I32+I29+I26</f>
        <v>2.2999999999999998</v>
      </c>
      <c r="J33" s="277"/>
    </row>
    <row r="34" spans="2:10" x14ac:dyDescent="0.25">
      <c r="B34" s="275"/>
      <c r="C34" s="251" t="s">
        <v>156</v>
      </c>
      <c r="D34" s="251"/>
      <c r="E34" s="251"/>
      <c r="F34" s="251"/>
      <c r="G34" s="251"/>
      <c r="H34" s="251"/>
      <c r="I34" s="147"/>
      <c r="J34" s="277"/>
    </row>
    <row r="35" spans="2:10" x14ac:dyDescent="0.25">
      <c r="B35" s="275"/>
      <c r="C35" s="251" t="s">
        <v>157</v>
      </c>
      <c r="D35" s="251"/>
      <c r="E35" s="251"/>
      <c r="F35" s="251"/>
      <c r="G35" s="251"/>
      <c r="H35" s="251"/>
      <c r="I35" s="148">
        <f>I33</f>
        <v>2.2999999999999998</v>
      </c>
      <c r="J35" s="277"/>
    </row>
    <row r="36" spans="2:10" x14ac:dyDescent="0.25">
      <c r="B36" s="275"/>
      <c r="C36" s="257" t="s">
        <v>158</v>
      </c>
      <c r="D36" s="258"/>
      <c r="E36" s="258"/>
      <c r="F36" s="258"/>
      <c r="G36" s="258"/>
      <c r="H36" s="258"/>
      <c r="I36" s="259"/>
      <c r="J36" s="277"/>
    </row>
    <row r="37" spans="2:10" ht="54.75" customHeight="1" x14ac:dyDescent="0.25">
      <c r="B37" s="275"/>
      <c r="C37" s="282" t="s">
        <v>164</v>
      </c>
      <c r="D37" s="282"/>
      <c r="E37" s="282"/>
      <c r="F37" s="282"/>
      <c r="G37" s="282"/>
      <c r="H37" s="282"/>
      <c r="I37" s="282"/>
      <c r="J37" s="277"/>
    </row>
    <row r="38" spans="2:10" x14ac:dyDescent="0.25">
      <c r="B38" s="275"/>
      <c r="C38" s="285" t="s">
        <v>186</v>
      </c>
      <c r="D38" s="286"/>
      <c r="E38" s="286"/>
      <c r="F38" s="286"/>
      <c r="G38" s="286"/>
      <c r="H38" s="286"/>
      <c r="I38" s="287"/>
      <c r="J38" s="277"/>
    </row>
    <row r="39" spans="2:10" x14ac:dyDescent="0.25">
      <c r="B39" s="275"/>
      <c r="C39" s="283" t="s">
        <v>159</v>
      </c>
      <c r="D39" s="283"/>
      <c r="E39" s="283"/>
      <c r="F39" s="283"/>
      <c r="G39" s="283"/>
      <c r="H39" s="283"/>
      <c r="I39" s="283"/>
      <c r="J39" s="277"/>
    </row>
    <row r="40" spans="2:10" x14ac:dyDescent="0.25">
      <c r="B40" s="275"/>
      <c r="C40" s="284" t="s">
        <v>160</v>
      </c>
      <c r="D40" s="284"/>
      <c r="E40" s="284"/>
      <c r="F40" s="284"/>
      <c r="G40" s="284"/>
      <c r="H40" s="284"/>
      <c r="I40" s="284"/>
      <c r="J40" s="277"/>
    </row>
    <row r="41" spans="2:10" ht="48" customHeight="1" x14ac:dyDescent="0.25">
      <c r="B41" s="275"/>
      <c r="C41" s="150"/>
      <c r="D41" s="150"/>
      <c r="E41" s="150"/>
      <c r="F41" s="150"/>
      <c r="G41" s="150"/>
      <c r="H41" s="150"/>
      <c r="I41" s="150"/>
      <c r="J41" s="277"/>
    </row>
    <row r="42" spans="2:10" x14ac:dyDescent="0.25">
      <c r="B42" s="275"/>
      <c r="C42" s="150"/>
      <c r="D42" s="150"/>
      <c r="E42" s="150"/>
      <c r="F42" s="150"/>
      <c r="G42" s="150"/>
      <c r="H42" s="150"/>
      <c r="I42" s="150"/>
      <c r="J42" s="277"/>
    </row>
    <row r="43" spans="2:10" x14ac:dyDescent="0.25">
      <c r="B43" s="275"/>
      <c r="C43" s="150"/>
      <c r="D43" s="150"/>
      <c r="E43" s="150"/>
      <c r="F43" s="150"/>
      <c r="G43" s="150"/>
      <c r="H43" s="150"/>
      <c r="I43" s="150"/>
      <c r="J43" s="277"/>
    </row>
    <row r="44" spans="2:10" x14ac:dyDescent="0.25">
      <c r="B44" s="275"/>
      <c r="C44" s="150"/>
      <c r="D44" s="150"/>
      <c r="E44" s="150"/>
      <c r="F44" s="150"/>
      <c r="G44" s="150"/>
      <c r="H44" s="150"/>
      <c r="I44" s="150"/>
      <c r="J44" s="277"/>
    </row>
    <row r="45" spans="2:10" x14ac:dyDescent="0.25">
      <c r="B45" s="275"/>
      <c r="C45" s="150"/>
      <c r="D45" s="150"/>
      <c r="E45" s="150"/>
      <c r="F45" s="150"/>
      <c r="G45" s="150"/>
      <c r="H45" s="150"/>
      <c r="I45" s="150"/>
      <c r="J45" s="277"/>
    </row>
    <row r="46" spans="2:10" x14ac:dyDescent="0.25">
      <c r="B46" s="275"/>
      <c r="C46" s="150"/>
      <c r="D46" s="150"/>
      <c r="E46" s="150"/>
      <c r="F46" s="150"/>
      <c r="G46" s="150"/>
      <c r="H46" s="150"/>
      <c r="I46" s="150"/>
      <c r="J46" s="277"/>
    </row>
    <row r="47" spans="2:10" x14ac:dyDescent="0.25">
      <c r="B47" s="275"/>
      <c r="C47" s="150"/>
      <c r="D47" s="150"/>
      <c r="E47" s="150"/>
      <c r="F47" s="150"/>
      <c r="G47" s="150"/>
      <c r="H47" s="150"/>
      <c r="I47" s="150"/>
      <c r="J47" s="277"/>
    </row>
    <row r="48" spans="2:10" x14ac:dyDescent="0.25">
      <c r="B48" s="275"/>
      <c r="C48" s="150"/>
      <c r="D48" s="150"/>
      <c r="E48" s="150"/>
      <c r="F48" s="150"/>
      <c r="G48" s="150"/>
      <c r="H48" s="150"/>
      <c r="I48" s="150"/>
      <c r="J48" s="277"/>
    </row>
    <row r="49" spans="2:10" ht="7.5" customHeight="1" x14ac:dyDescent="0.25">
      <c r="B49" s="275"/>
      <c r="C49" s="150"/>
      <c r="D49" s="150"/>
      <c r="E49" s="150"/>
      <c r="F49" s="150"/>
      <c r="G49" s="150"/>
      <c r="H49" s="150"/>
      <c r="I49" s="150"/>
      <c r="J49" s="277"/>
    </row>
    <row r="50" spans="2:10" x14ac:dyDescent="0.25">
      <c r="B50" s="275"/>
      <c r="C50" s="150"/>
      <c r="D50" s="150"/>
      <c r="E50" s="150"/>
      <c r="F50" s="150"/>
      <c r="G50" s="150"/>
      <c r="H50" s="150"/>
      <c r="I50" s="150"/>
      <c r="J50" s="277"/>
    </row>
    <row r="51" spans="2:10" x14ac:dyDescent="0.25">
      <c r="B51" s="275"/>
      <c r="C51" s="150"/>
      <c r="D51" s="150"/>
      <c r="E51" s="150"/>
      <c r="F51" s="150"/>
      <c r="G51" s="150"/>
      <c r="H51" s="150"/>
      <c r="I51" s="150"/>
      <c r="J51" s="277"/>
    </row>
    <row r="52" spans="2:10" x14ac:dyDescent="0.25">
      <c r="B52" s="275"/>
      <c r="C52" s="150"/>
      <c r="D52" s="150"/>
      <c r="E52" s="150"/>
      <c r="F52" s="150"/>
      <c r="G52" s="150"/>
      <c r="H52" s="150"/>
      <c r="I52" s="150"/>
      <c r="J52" s="277"/>
    </row>
    <row r="53" spans="2:10" x14ac:dyDescent="0.25">
      <c r="B53" s="275"/>
      <c r="C53" s="150"/>
      <c r="D53" s="150"/>
      <c r="E53" s="150"/>
      <c r="F53" s="150"/>
      <c r="G53" s="150"/>
      <c r="H53" s="150"/>
      <c r="I53" s="150"/>
      <c r="J53" s="277"/>
    </row>
    <row r="54" spans="2:10" x14ac:dyDescent="0.25">
      <c r="B54" s="275"/>
      <c r="C54" s="150"/>
      <c r="D54" s="150"/>
      <c r="E54" s="150"/>
      <c r="F54" s="150"/>
      <c r="G54" s="150"/>
      <c r="H54" s="150"/>
      <c r="I54" s="150"/>
      <c r="J54" s="277"/>
    </row>
    <row r="55" spans="2:10" x14ac:dyDescent="0.25">
      <c r="B55" s="275"/>
      <c r="C55" s="150"/>
      <c r="D55" s="150"/>
      <c r="E55" s="150"/>
      <c r="F55" s="150"/>
      <c r="G55" s="150"/>
      <c r="H55" s="150"/>
      <c r="I55" s="150"/>
      <c r="J55" s="277"/>
    </row>
    <row r="56" spans="2:10" x14ac:dyDescent="0.25">
      <c r="B56" s="275"/>
      <c r="C56" s="150"/>
      <c r="D56" s="150"/>
      <c r="E56" s="150"/>
      <c r="F56" s="150"/>
      <c r="G56" s="150"/>
      <c r="H56" s="150"/>
      <c r="I56" s="150"/>
      <c r="J56" s="277"/>
    </row>
    <row r="57" spans="2:10" x14ac:dyDescent="0.25">
      <c r="B57" s="275"/>
      <c r="C57" s="150"/>
      <c r="D57" s="150"/>
      <c r="E57" s="150"/>
      <c r="F57" s="150"/>
      <c r="G57" s="150"/>
      <c r="H57" s="150"/>
      <c r="I57" s="150"/>
      <c r="J57" s="277"/>
    </row>
    <row r="58" spans="2:10" x14ac:dyDescent="0.25">
      <c r="B58" s="275"/>
      <c r="C58" s="150"/>
      <c r="D58" s="150"/>
      <c r="E58" s="150"/>
      <c r="F58" s="150"/>
      <c r="G58" s="150"/>
      <c r="H58" s="150"/>
      <c r="I58" s="150"/>
      <c r="J58" s="277"/>
    </row>
    <row r="59" spans="2:10" x14ac:dyDescent="0.25">
      <c r="B59" s="275"/>
      <c r="C59" s="150"/>
      <c r="D59" s="150"/>
      <c r="E59" s="150"/>
      <c r="F59" s="150"/>
      <c r="G59" s="150"/>
      <c r="H59" s="150"/>
      <c r="I59" s="150"/>
      <c r="J59" s="277"/>
    </row>
    <row r="60" spans="2:10" x14ac:dyDescent="0.25">
      <c r="B60" s="275"/>
      <c r="C60" s="150"/>
      <c r="D60" s="150"/>
      <c r="E60" s="150"/>
      <c r="F60" s="150"/>
      <c r="G60" s="150"/>
      <c r="H60" s="150"/>
      <c r="I60" s="150"/>
      <c r="J60" s="277"/>
    </row>
    <row r="61" spans="2:10" x14ac:dyDescent="0.25">
      <c r="B61" s="275"/>
      <c r="C61" s="150"/>
      <c r="D61" s="150"/>
      <c r="E61" s="150"/>
      <c r="F61" s="150"/>
      <c r="G61" s="150"/>
      <c r="H61" s="150"/>
      <c r="I61" s="150"/>
      <c r="J61" s="277"/>
    </row>
    <row r="62" spans="2:10" x14ac:dyDescent="0.25">
      <c r="B62" s="275"/>
      <c r="C62" s="150"/>
      <c r="D62" s="150"/>
      <c r="E62" s="150"/>
      <c r="F62" s="150"/>
      <c r="G62" s="150"/>
      <c r="H62" s="150"/>
      <c r="I62" s="150"/>
      <c r="J62" s="277"/>
    </row>
    <row r="63" spans="2:10" x14ac:dyDescent="0.25">
      <c r="B63" s="275"/>
      <c r="C63" s="150"/>
      <c r="D63" s="150"/>
      <c r="E63" s="150"/>
      <c r="F63" s="150"/>
      <c r="G63" s="150"/>
      <c r="H63" s="150"/>
      <c r="I63" s="150"/>
      <c r="J63" s="277"/>
    </row>
    <row r="64" spans="2:10" x14ac:dyDescent="0.25">
      <c r="B64" s="275"/>
      <c r="C64" s="150"/>
      <c r="D64" s="150"/>
      <c r="E64" s="150"/>
      <c r="F64" s="150"/>
      <c r="G64" s="150"/>
      <c r="H64" s="150"/>
      <c r="I64" s="150"/>
      <c r="J64" s="277"/>
    </row>
    <row r="65" spans="2:10" x14ac:dyDescent="0.25">
      <c r="B65" s="275"/>
      <c r="C65" s="150"/>
      <c r="D65" s="150"/>
      <c r="E65" s="150"/>
      <c r="F65" s="150"/>
      <c r="G65" s="150"/>
      <c r="H65" s="150"/>
      <c r="I65" s="150"/>
      <c r="J65" s="277"/>
    </row>
    <row r="66" spans="2:10" x14ac:dyDescent="0.25">
      <c r="B66" s="275"/>
      <c r="C66" s="150"/>
      <c r="D66" s="150"/>
      <c r="E66" s="150"/>
      <c r="F66" s="150"/>
      <c r="G66" s="150"/>
      <c r="H66" s="150"/>
      <c r="I66" s="150"/>
      <c r="J66" s="277"/>
    </row>
    <row r="67" spans="2:10" x14ac:dyDescent="0.25">
      <c r="B67" s="275"/>
      <c r="C67" s="150"/>
      <c r="D67" s="150"/>
      <c r="E67" s="150"/>
      <c r="F67" s="150"/>
      <c r="G67" s="150"/>
      <c r="H67" s="150"/>
      <c r="I67" s="150"/>
      <c r="J67" s="277"/>
    </row>
    <row r="68" spans="2:10" x14ac:dyDescent="0.25">
      <c r="B68" s="275"/>
      <c r="C68" s="150"/>
      <c r="D68" s="150"/>
      <c r="E68" s="150"/>
      <c r="F68" s="150"/>
      <c r="G68" s="150"/>
      <c r="H68" s="150"/>
      <c r="I68" s="150"/>
      <c r="J68" s="277"/>
    </row>
    <row r="69" spans="2:10" x14ac:dyDescent="0.25">
      <c r="B69" s="275"/>
      <c r="C69" s="150"/>
      <c r="D69" s="150"/>
      <c r="E69" s="150"/>
      <c r="F69" s="150"/>
      <c r="G69" s="150"/>
      <c r="H69" s="150"/>
      <c r="I69" s="150"/>
      <c r="J69" s="277"/>
    </row>
    <row r="70" spans="2:10" x14ac:dyDescent="0.25">
      <c r="B70" s="275"/>
      <c r="C70" s="150"/>
      <c r="D70" s="150"/>
      <c r="E70" s="150"/>
      <c r="F70" s="150"/>
      <c r="G70" s="150"/>
      <c r="H70" s="150"/>
      <c r="I70" s="150"/>
      <c r="J70" s="277"/>
    </row>
    <row r="71" spans="2:10" x14ac:dyDescent="0.25">
      <c r="B71" s="275"/>
      <c r="C71" s="150"/>
      <c r="D71" s="150"/>
      <c r="E71" s="150"/>
      <c r="F71" s="150"/>
      <c r="G71" s="150"/>
      <c r="H71" s="150"/>
      <c r="I71" s="150"/>
      <c r="J71" s="277"/>
    </row>
    <row r="72" spans="2:10" x14ac:dyDescent="0.25">
      <c r="B72" s="275"/>
      <c r="C72" s="150"/>
      <c r="D72" s="150"/>
      <c r="E72" s="150"/>
      <c r="F72" s="150"/>
      <c r="G72" s="150"/>
      <c r="H72" s="150"/>
      <c r="I72" s="150"/>
      <c r="J72" s="277"/>
    </row>
    <row r="73" spans="2:10" x14ac:dyDescent="0.25">
      <c r="B73" s="275"/>
      <c r="C73" s="150"/>
      <c r="D73" s="150"/>
      <c r="E73" s="150"/>
      <c r="F73" s="150"/>
      <c r="G73" s="150"/>
      <c r="H73" s="150"/>
      <c r="I73" s="150"/>
      <c r="J73" s="277"/>
    </row>
    <row r="74" spans="2:10" x14ac:dyDescent="0.25">
      <c r="B74" s="275"/>
      <c r="C74" s="150"/>
      <c r="D74" s="150"/>
      <c r="E74" s="150"/>
      <c r="F74" s="150"/>
      <c r="G74" s="150"/>
      <c r="H74" s="150"/>
      <c r="I74" s="150"/>
      <c r="J74" s="277"/>
    </row>
    <row r="75" spans="2:10" x14ac:dyDescent="0.25">
      <c r="B75" s="275"/>
      <c r="C75" s="150"/>
      <c r="D75" s="150"/>
      <c r="E75" s="150"/>
      <c r="F75" s="150"/>
      <c r="G75" s="150"/>
      <c r="H75" s="150"/>
      <c r="I75" s="150"/>
      <c r="J75" s="277"/>
    </row>
    <row r="76" spans="2:10" x14ac:dyDescent="0.25">
      <c r="B76" s="275"/>
      <c r="C76" s="150"/>
      <c r="D76" s="150"/>
      <c r="E76" s="150"/>
      <c r="F76" s="150"/>
      <c r="G76" s="150"/>
      <c r="H76" s="150"/>
      <c r="I76" s="150"/>
      <c r="J76" s="277"/>
    </row>
    <row r="77" spans="2:10" x14ac:dyDescent="0.25">
      <c r="B77" s="275"/>
      <c r="C77" s="150"/>
      <c r="D77" s="150"/>
      <c r="E77" s="150"/>
      <c r="F77" s="150"/>
      <c r="G77" s="150"/>
      <c r="H77" s="150"/>
      <c r="I77" s="150"/>
      <c r="J77" s="277"/>
    </row>
    <row r="78" spans="2:10" x14ac:dyDescent="0.25">
      <c r="B78" s="275"/>
      <c r="C78" s="150"/>
      <c r="D78" s="150"/>
      <c r="E78" s="150"/>
      <c r="F78" s="150"/>
      <c r="G78" s="150"/>
      <c r="H78" s="150"/>
      <c r="I78" s="150"/>
      <c r="J78" s="277"/>
    </row>
    <row r="79" spans="2:10" x14ac:dyDescent="0.25">
      <c r="B79" s="275"/>
      <c r="C79" s="150"/>
      <c r="D79" s="150"/>
      <c r="E79" s="150"/>
      <c r="F79" s="150"/>
      <c r="G79" s="150"/>
      <c r="H79" s="150"/>
      <c r="I79" s="150"/>
      <c r="J79" s="277"/>
    </row>
    <row r="80" spans="2:10" x14ac:dyDescent="0.25">
      <c r="B80" s="275"/>
      <c r="C80" s="150"/>
      <c r="D80" s="150"/>
      <c r="E80" s="150"/>
      <c r="F80" s="150"/>
      <c r="G80" s="150"/>
      <c r="H80" s="150"/>
      <c r="I80" s="150"/>
      <c r="J80" s="277"/>
    </row>
    <row r="81" spans="2:10" x14ac:dyDescent="0.25">
      <c r="B81" s="275"/>
      <c r="C81" s="150"/>
      <c r="D81" s="150"/>
      <c r="E81" s="150"/>
      <c r="F81" s="150"/>
      <c r="G81" s="150"/>
      <c r="H81" s="150"/>
      <c r="I81" s="150"/>
      <c r="J81" s="277"/>
    </row>
    <row r="82" spans="2:10" x14ac:dyDescent="0.25">
      <c r="B82" s="275"/>
      <c r="C82" s="150"/>
      <c r="D82" s="150"/>
      <c r="E82" s="150"/>
      <c r="F82" s="150"/>
      <c r="G82" s="150"/>
      <c r="H82" s="150"/>
      <c r="I82" s="150"/>
      <c r="J82" s="277"/>
    </row>
    <row r="83" spans="2:10" x14ac:dyDescent="0.25">
      <c r="B83" s="275"/>
      <c r="C83" s="150"/>
      <c r="D83" s="150"/>
      <c r="E83" s="150"/>
      <c r="F83" s="150"/>
      <c r="G83" s="150"/>
      <c r="H83" s="150"/>
      <c r="I83" s="150"/>
      <c r="J83" s="277"/>
    </row>
    <row r="84" spans="2:10" x14ac:dyDescent="0.25">
      <c r="B84" s="275"/>
      <c r="C84" s="150"/>
      <c r="D84" s="150"/>
      <c r="E84" s="150"/>
      <c r="F84" s="150"/>
      <c r="G84" s="150"/>
      <c r="H84" s="150"/>
      <c r="I84" s="150"/>
      <c r="J84" s="277"/>
    </row>
    <row r="85" spans="2:10" x14ac:dyDescent="0.25">
      <c r="B85" s="276"/>
      <c r="C85" s="281"/>
      <c r="D85" s="281"/>
      <c r="E85" s="281"/>
      <c r="F85" s="281"/>
      <c r="G85" s="281"/>
      <c r="H85" s="281"/>
      <c r="I85" s="281"/>
      <c r="J85" s="278"/>
    </row>
  </sheetData>
  <mergeCells count="32">
    <mergeCell ref="B2:J2"/>
    <mergeCell ref="D7:E7"/>
    <mergeCell ref="D8:E8"/>
    <mergeCell ref="F7:G7"/>
    <mergeCell ref="D4:I4"/>
    <mergeCell ref="D5:I5"/>
    <mergeCell ref="C3:I3"/>
    <mergeCell ref="B3:B85"/>
    <mergeCell ref="J3:J85"/>
    <mergeCell ref="F8:G8"/>
    <mergeCell ref="C9:I9"/>
    <mergeCell ref="C85:I85"/>
    <mergeCell ref="C37:I37"/>
    <mergeCell ref="C39:I39"/>
    <mergeCell ref="C40:I40"/>
    <mergeCell ref="C38:I38"/>
    <mergeCell ref="C32:H32"/>
    <mergeCell ref="C33:G33"/>
    <mergeCell ref="C34:H34"/>
    <mergeCell ref="C35:H35"/>
    <mergeCell ref="C36:I36"/>
    <mergeCell ref="C29:H29"/>
    <mergeCell ref="C10:I10"/>
    <mergeCell ref="C11:E11"/>
    <mergeCell ref="C12:E12"/>
    <mergeCell ref="C13:I13"/>
    <mergeCell ref="C21:H21"/>
    <mergeCell ref="C24:H24"/>
    <mergeCell ref="D25:E25"/>
    <mergeCell ref="F25:H25"/>
    <mergeCell ref="C26:E26"/>
    <mergeCell ref="F26:H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EFA0-4B36-4524-8340-DA56B2A12FFE}">
  <dimension ref="A1:G9"/>
  <sheetViews>
    <sheetView workbookViewId="0">
      <selection activeCell="E6" sqref="E6"/>
    </sheetView>
  </sheetViews>
  <sheetFormatPr defaultRowHeight="15" x14ac:dyDescent="0.25"/>
  <cols>
    <col min="1" max="1" width="15.5703125" customWidth="1"/>
    <col min="2" max="2" width="12.5703125" customWidth="1"/>
    <col min="4" max="4" width="49.85546875" customWidth="1"/>
    <col min="5" max="5" width="12.5703125" customWidth="1"/>
    <col min="6" max="6" width="14.28515625" customWidth="1"/>
    <col min="7" max="7" width="17.5703125" customWidth="1"/>
  </cols>
  <sheetData>
    <row r="1" spans="1:7" ht="36" x14ac:dyDescent="0.25">
      <c r="A1" s="156"/>
      <c r="B1" s="156" t="s">
        <v>86</v>
      </c>
      <c r="C1" s="156">
        <v>104375</v>
      </c>
      <c r="D1" s="157" t="s">
        <v>171</v>
      </c>
      <c r="E1" s="156" t="s">
        <v>78</v>
      </c>
      <c r="F1" s="156"/>
      <c r="G1" s="158" t="s">
        <v>170</v>
      </c>
    </row>
    <row r="2" spans="1:7" ht="60" x14ac:dyDescent="0.25">
      <c r="A2" s="153" t="s">
        <v>168</v>
      </c>
      <c r="B2" s="151" t="s">
        <v>89</v>
      </c>
      <c r="C2" s="151">
        <v>91486</v>
      </c>
      <c r="D2" s="152" t="s">
        <v>130</v>
      </c>
      <c r="E2" s="151" t="s">
        <v>131</v>
      </c>
      <c r="F2" s="151">
        <v>5.1000000000000004E-3</v>
      </c>
      <c r="G2" s="151">
        <v>74.23</v>
      </c>
    </row>
    <row r="3" spans="1:7" ht="60" x14ac:dyDescent="0.25">
      <c r="A3" s="153" t="s">
        <v>168</v>
      </c>
      <c r="B3" s="151" t="s">
        <v>89</v>
      </c>
      <c r="C3" s="151">
        <v>83362</v>
      </c>
      <c r="D3" s="152" t="s">
        <v>132</v>
      </c>
      <c r="E3" s="151" t="s">
        <v>133</v>
      </c>
      <c r="F3" s="151">
        <v>4.0000000000000002E-4</v>
      </c>
      <c r="G3" s="151">
        <v>270.68</v>
      </c>
    </row>
    <row r="4" spans="1:7" ht="24" x14ac:dyDescent="0.25">
      <c r="A4" s="153" t="s">
        <v>168</v>
      </c>
      <c r="B4" s="151" t="s">
        <v>89</v>
      </c>
      <c r="C4" s="151">
        <v>89036</v>
      </c>
      <c r="D4" s="152" t="s">
        <v>134</v>
      </c>
      <c r="E4" s="151" t="s">
        <v>131</v>
      </c>
      <c r="F4" s="151">
        <v>3.8E-3</v>
      </c>
      <c r="G4" s="151">
        <v>58.01</v>
      </c>
    </row>
    <row r="5" spans="1:7" ht="24" x14ac:dyDescent="0.25">
      <c r="A5" s="153" t="s">
        <v>168</v>
      </c>
      <c r="B5" s="151" t="s">
        <v>89</v>
      </c>
      <c r="C5" s="151">
        <v>89035</v>
      </c>
      <c r="D5" s="152" t="s">
        <v>135</v>
      </c>
      <c r="E5" s="151" t="s">
        <v>133</v>
      </c>
      <c r="F5" s="151">
        <v>1.6999999999999999E-3</v>
      </c>
      <c r="G5" s="151">
        <v>141.87</v>
      </c>
    </row>
    <row r="6" spans="1:7" ht="36" x14ac:dyDescent="0.25">
      <c r="A6" s="153" t="s">
        <v>168</v>
      </c>
      <c r="B6" s="151" t="s">
        <v>89</v>
      </c>
      <c r="C6" s="151">
        <v>5841</v>
      </c>
      <c r="D6" s="152" t="s">
        <v>136</v>
      </c>
      <c r="E6" s="151" t="s">
        <v>131</v>
      </c>
      <c r="F6" s="151">
        <v>4.0000000000000001E-3</v>
      </c>
      <c r="G6" s="151">
        <v>4.68</v>
      </c>
    </row>
    <row r="7" spans="1:7" ht="36" x14ac:dyDescent="0.25">
      <c r="A7" s="153" t="s">
        <v>168</v>
      </c>
      <c r="B7" s="151" t="s">
        <v>89</v>
      </c>
      <c r="C7" s="151">
        <v>5839</v>
      </c>
      <c r="D7" s="152" t="s">
        <v>137</v>
      </c>
      <c r="E7" s="151" t="s">
        <v>133</v>
      </c>
      <c r="F7" s="151">
        <v>2E-3</v>
      </c>
      <c r="G7" s="151">
        <v>9.31</v>
      </c>
    </row>
    <row r="8" spans="1:7" ht="30" x14ac:dyDescent="0.25">
      <c r="A8" s="153" t="s">
        <v>169</v>
      </c>
      <c r="B8" s="151" t="s">
        <v>89</v>
      </c>
      <c r="C8" s="151">
        <v>44952</v>
      </c>
      <c r="D8" s="154" t="s">
        <v>172</v>
      </c>
      <c r="E8" s="155" t="s">
        <v>151</v>
      </c>
      <c r="F8" s="155">
        <v>0.45</v>
      </c>
      <c r="G8" s="155" t="s">
        <v>173</v>
      </c>
    </row>
    <row r="9" spans="1:7" x14ac:dyDescent="0.25">
      <c r="A9" s="288"/>
      <c r="B9" s="288"/>
      <c r="C9" s="288"/>
      <c r="D9" s="288"/>
      <c r="E9" s="288"/>
      <c r="F9" s="288"/>
      <c r="G9" s="288"/>
    </row>
  </sheetData>
  <mergeCells count="1">
    <mergeCell ref="A9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BDI</vt:lpstr>
      <vt:lpstr>ORÇAMENTO</vt:lpstr>
      <vt:lpstr>CRONOGRAMA</vt:lpstr>
      <vt:lpstr>MEMÓRIA DE CÁLCULO</vt:lpstr>
      <vt:lpstr>COMPOSIÇÃO</vt:lpstr>
      <vt:lpstr>REFERÊNCIA</vt:lpstr>
      <vt:lpstr>BDI!Area_de_impressao</vt:lpstr>
      <vt:lpstr>COMPOSIÇÃO!Area_de_impressao</vt:lpstr>
      <vt:lpstr>CRONOGRAMA!Area_de_impressao</vt:lpstr>
      <vt:lpstr>'MEMÓRIA DE CÁLCULO'!Area_de_impressao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Peterson Amaral Lima</dc:creator>
  <cp:lastModifiedBy>Leonardo Peterson Amaral Lima</cp:lastModifiedBy>
  <cp:lastPrinted>2026-05-19T12:52:54Z</cp:lastPrinted>
  <dcterms:created xsi:type="dcterms:W3CDTF">2025-04-02T15:14:09Z</dcterms:created>
  <dcterms:modified xsi:type="dcterms:W3CDTF">2026-06-09T14:01:25Z</dcterms:modified>
</cp:coreProperties>
</file>