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EFEITURA\OBRAS 2026\Extensão de Rede\LICITAÇÃO\"/>
    </mc:Choice>
  </mc:AlternateContent>
  <xr:revisionPtr revIDLastSave="0" documentId="13_ncr:1_{11D29CEF-CCCB-473B-A31A-EFBF5872BCBA}" xr6:coauthVersionLast="47" xr6:coauthVersionMax="47" xr10:uidLastSave="{00000000-0000-0000-0000-000000000000}"/>
  <bookViews>
    <workbookView xWindow="-120" yWindow="-120" windowWidth="29040" windowHeight="15720" activeTab="1" xr2:uid="{BC7E82ED-24DA-47D3-A3DE-70EA21059675}"/>
  </bookViews>
  <sheets>
    <sheet name="BDI" sheetId="1" r:id="rId1"/>
    <sheet name="ORÇAMENTO" sheetId="2" r:id="rId2"/>
    <sheet name="CRONOGRAMA" sheetId="3" r:id="rId3"/>
    <sheet name="MEMÓRIA DE CÁLCULO" sheetId="5" r:id="rId4"/>
    <sheet name="COTAÇÃO" sheetId="6" r:id="rId5"/>
  </sheets>
  <externalReferences>
    <externalReference r:id="rId6"/>
  </externalReferences>
  <definedNames>
    <definedName name="ACOMPANHAMENTO" hidden="1">IF(VALUE([1]MENU!$O$4)=2,"BM","PLE")</definedName>
    <definedName name="_xlnm.Print_Area" localSheetId="0">BDI!$A$1:$L$51</definedName>
    <definedName name="_xlnm.Print_Area" localSheetId="4">COTAÇÃO!$A$1:$K$38</definedName>
    <definedName name="_xlnm.Print_Area" localSheetId="2">CRONOGRAMA!$A$1:$K$24</definedName>
    <definedName name="_xlnm.Print_Area" localSheetId="3">'MEMÓRIA DE CÁLCULO'!$A$1:$S$39</definedName>
    <definedName name="_xlnm.Print_Area" localSheetId="1">ORÇAMENTO!$A$1:$K$45</definedName>
    <definedName name="AUTOEVENTO" hidden="1">#REF!</definedName>
    <definedName name="BDI.Opcao" hidden="1">[1]DADOS!$F$18</definedName>
    <definedName name="BDI.TipoObra" hidden="1">[1]BDI!$A$138:$A$146</definedName>
    <definedName name="CÁLCULO.NúmeroDeFrentes" hidden="1">COLUMN([1]CÁLCULO!$AA$15)-COLUMN([1]CÁLCULO!$Q$15)</definedName>
    <definedName name="CRONO.MaxParc" hidden="1">[1]CRONO!$G65536+[1]CRONO!A1</definedName>
    <definedName name="CRONOPLE.ValorDoEvento" hidden="1">SUMIF([1]CÁLCULO!$M$15:$M$27,[1]CRONOPLE!$B1,OFFSET([1]CÁLCULO!$AA$15:$AA$27,0,[1]CRONOPLE!A$12))</definedName>
    <definedName name="DESONERACAO" hidden="1">IF(OR(Import.Desoneracao="DESONERADO",Import.Desoneracao="SIM"),"SIM","NÃO")</definedName>
    <definedName name="EVENTOS.ListaValidacao" hidden="1">[1]EVENTOS!$B$15:OFFSET([1]EVENTOS!$B$62,-1,0)</definedName>
    <definedName name="Excel_BuiltIn_Database" hidden="1">TEXT(Import.DataBase,"mm-aaaa")</definedName>
    <definedName name="Import.Apelido" hidden="1">[1]DADOS!$F$16</definedName>
    <definedName name="Import.CR" hidden="1">[1]DADOS!$F$7</definedName>
    <definedName name="Import.CTEF" hidden="1">[1]DADOS!$F$36</definedName>
    <definedName name="Import.DataBase" hidden="1">OFFSET([1]DADOS!$G$19,0,-1)</definedName>
    <definedName name="Import.DescLote" hidden="1">[1]DADOS!$F$17</definedName>
    <definedName name="Import.Desoneracao" hidden="1">OFFSET([1]DADOS!$G$18,0,-1)</definedName>
    <definedName name="Import.empresa" hidden="1">[1]DADOS!$F$37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gimeExecução" hidden="1">OFFSET([1]DADOS!$G$39,0,-1)</definedName>
    <definedName name="Import.RespOrçamento" hidden="1">[1]DADOS!$F$22:$F$24</definedName>
    <definedName name="Import.SICONV" hidden="1">[1]DADOS!$F$8</definedName>
    <definedName name="ORÇAMENTO.BancoRef" hidden="1">CRONOGRAMA!#REF!</definedName>
    <definedName name="ORÇAMENTO.CustoUnitario" hidden="1">ROUND(CRONOGRAMA!$T1,15-13*CRONOGRAMA!#REF!)</definedName>
    <definedName name="ORÇAMENTO.PrecoUnitarioLicitado" hidden="1">CRONOGRAMA!$AK1</definedName>
    <definedName name="REFERENCIA.Descricao" hidden="1">IF(ISNUMBER(CRONOGRAMA!$AE1),OFFSET(INDIRECT(ORÇAMENTO.BancoRef),CRONOGRAMA!$AE1-1,3,1),CRONOGRAMA!$AE1)</definedName>
    <definedName name="REFERENCIA.Unidade" hidden="1">IF(ISNUMBER(CRONOGRAMA!$AE1),OFFSET(INDIRECT(ORÇAMENTO.BancoRef),CRONOGRAMA!$AE1-1,4,1),"-")</definedName>
    <definedName name="SomaAgrup" hidden="1">SUMIF(OFFSET(CRONOGRAMA!#REF!,1,0,CRONOGRAMA!#REF!),"S",OFFSET(CRONOGRAMA!A1,1,0,CRONOGRAMA!#REF!))</definedName>
    <definedName name="TIPOORCAMENTO" hidden="1">IF(VALUE([1]MENU!$O$3)=2,"Licitado","Proposto")</definedName>
    <definedName name="VTOTAL1" hidden="1">ROUND(CRONOGRAMA!$S1*CRONOGRAMA!$V1,15-13*CRONOGRAMA!$AE$9)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B9" i="1"/>
  <c r="F16" i="5"/>
  <c r="F17" i="5"/>
  <c r="F18" i="5"/>
  <c r="F20" i="5"/>
  <c r="F22" i="5"/>
  <c r="F23" i="5"/>
  <c r="F24" i="5"/>
  <c r="F25" i="5"/>
  <c r="F26" i="5"/>
  <c r="F27" i="5"/>
  <c r="F28" i="5"/>
  <c r="F15" i="5"/>
  <c r="V14" i="5"/>
  <c r="N14" i="6"/>
  <c r="P18" i="5"/>
  <c r="O21" i="5"/>
  <c r="N21" i="5"/>
  <c r="M21" i="5"/>
  <c r="L21" i="5"/>
  <c r="K21" i="5"/>
  <c r="J21" i="5"/>
  <c r="F21" i="5" s="1"/>
  <c r="I20" i="5"/>
  <c r="Q20" i="5"/>
  <c r="P20" i="5"/>
  <c r="N19" i="5"/>
  <c r="M19" i="5"/>
  <c r="F19" i="5" s="1"/>
  <c r="Q18" i="5"/>
  <c r="I18" i="5"/>
  <c r="D5" i="6" l="1"/>
  <c r="U34" i="5"/>
  <c r="J12" i="6" l="1"/>
  <c r="I17" i="2" s="1"/>
  <c r="V16" i="5" s="1"/>
  <c r="J13" i="6"/>
  <c r="I18" i="2" s="1"/>
  <c r="V17" i="5" s="1"/>
  <c r="J14" i="6"/>
  <c r="I19" i="2" s="1"/>
  <c r="V18" i="5" s="1"/>
  <c r="J15" i="6"/>
  <c r="I20" i="2" s="1"/>
  <c r="V19" i="5" s="1"/>
  <c r="J16" i="6"/>
  <c r="I21" i="2" s="1"/>
  <c r="V20" i="5" s="1"/>
  <c r="J17" i="6"/>
  <c r="I22" i="2" s="1"/>
  <c r="V21" i="5" s="1"/>
  <c r="J18" i="6"/>
  <c r="J19" i="6"/>
  <c r="J20" i="6"/>
  <c r="I25" i="2" s="1"/>
  <c r="V24" i="5" s="1"/>
  <c r="J21" i="6"/>
  <c r="I26" i="2" s="1"/>
  <c r="V25" i="5" s="1"/>
  <c r="J22" i="6"/>
  <c r="I27" i="2" s="1"/>
  <c r="V26" i="5" s="1"/>
  <c r="J23" i="6"/>
  <c r="I28" i="2" s="1"/>
  <c r="V27" i="5" s="1"/>
  <c r="J24" i="6"/>
  <c r="I29" i="2" s="1"/>
  <c r="V28" i="5" s="1"/>
  <c r="J11" i="6"/>
  <c r="I16" i="2" s="1"/>
  <c r="V15" i="5" s="1"/>
  <c r="G17" i="2"/>
  <c r="F12" i="6" s="1"/>
  <c r="N12" i="6" s="1"/>
  <c r="G18" i="2"/>
  <c r="F13" i="6" s="1"/>
  <c r="N13" i="6" s="1"/>
  <c r="G19" i="2"/>
  <c r="G20" i="2"/>
  <c r="F15" i="6" s="1"/>
  <c r="N15" i="6" s="1"/>
  <c r="G21" i="2"/>
  <c r="F16" i="6" s="1"/>
  <c r="G22" i="2"/>
  <c r="G23" i="2"/>
  <c r="F18" i="6" s="1"/>
  <c r="O18" i="6" s="1"/>
  <c r="G24" i="2"/>
  <c r="F19" i="6" s="1"/>
  <c r="G25" i="2"/>
  <c r="F20" i="6" s="1"/>
  <c r="M20" i="6" s="1"/>
  <c r="G26" i="2"/>
  <c r="F21" i="6" s="1"/>
  <c r="M21" i="6" s="1"/>
  <c r="G27" i="2"/>
  <c r="F22" i="6" s="1"/>
  <c r="G28" i="2"/>
  <c r="F23" i="6" s="1"/>
  <c r="M23" i="6" s="1"/>
  <c r="G29" i="2"/>
  <c r="F24" i="6" s="1"/>
  <c r="G16" i="2"/>
  <c r="E13" i="5"/>
  <c r="F13" i="5"/>
  <c r="G14" i="2" s="1"/>
  <c r="B42" i="2"/>
  <c r="B22" i="3" s="1"/>
  <c r="B37" i="5" s="1"/>
  <c r="G42" i="2"/>
  <c r="G22" i="3" s="1"/>
  <c r="I37" i="5" s="1"/>
  <c r="G43" i="2"/>
  <c r="G23" i="3" s="1"/>
  <c r="I38" i="5" s="1"/>
  <c r="G41" i="2"/>
  <c r="G21" i="3" s="1"/>
  <c r="I36" i="5" s="1"/>
  <c r="I14" i="2"/>
  <c r="V13" i="5" s="1"/>
  <c r="J8" i="2"/>
  <c r="J8" i="6" s="1"/>
  <c r="O12" i="6"/>
  <c r="O14" i="6"/>
  <c r="O15" i="6"/>
  <c r="O16" i="6"/>
  <c r="O17" i="6"/>
  <c r="O19" i="6"/>
  <c r="O20" i="6"/>
  <c r="O22" i="6"/>
  <c r="O23" i="6"/>
  <c r="O24" i="6"/>
  <c r="N16" i="6"/>
  <c r="N17" i="6"/>
  <c r="N19" i="6"/>
  <c r="N22" i="6"/>
  <c r="N23" i="6"/>
  <c r="N24" i="6"/>
  <c r="M14" i="6"/>
  <c r="M15" i="6"/>
  <c r="M16" i="6"/>
  <c r="M17" i="6"/>
  <c r="M18" i="6"/>
  <c r="M19" i="6"/>
  <c r="M22" i="6"/>
  <c r="M24" i="6"/>
  <c r="F37" i="6"/>
  <c r="F36" i="6"/>
  <c r="B36" i="6"/>
  <c r="F35" i="6"/>
  <c r="B33" i="6"/>
  <c r="B5" i="6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15" i="5"/>
  <c r="D14" i="5"/>
  <c r="C9" i="3"/>
  <c r="C11" i="3"/>
  <c r="C10" i="3"/>
  <c r="B39" i="2"/>
  <c r="B19" i="3" s="1"/>
  <c r="B34" i="5" s="1"/>
  <c r="B5" i="2"/>
  <c r="B6" i="5" s="1"/>
  <c r="D5" i="3"/>
  <c r="B10" i="5"/>
  <c r="H10" i="2"/>
  <c r="G2" i="1"/>
  <c r="N21" i="6" l="1"/>
  <c r="N20" i="6"/>
  <c r="O21" i="6"/>
  <c r="O13" i="6"/>
  <c r="N11" i="6"/>
  <c r="N25" i="6" s="1"/>
  <c r="F11" i="6"/>
  <c r="M11" i="6" s="1"/>
  <c r="M25" i="6" s="1"/>
  <c r="M13" i="6"/>
  <c r="N18" i="6"/>
  <c r="M12" i="6"/>
  <c r="J14" i="2"/>
  <c r="J13" i="2" s="1"/>
  <c r="D10" i="3" s="1"/>
  <c r="H18" i="2"/>
  <c r="H28" i="2"/>
  <c r="H17" i="2"/>
  <c r="H29" i="2"/>
  <c r="H27" i="2"/>
  <c r="H26" i="2"/>
  <c r="H25" i="2"/>
  <c r="H24" i="2"/>
  <c r="I24" i="2"/>
  <c r="H23" i="2"/>
  <c r="I23" i="2"/>
  <c r="V22" i="5" s="1"/>
  <c r="H22" i="2"/>
  <c r="H21" i="2"/>
  <c r="H20" i="2"/>
  <c r="H19" i="2"/>
  <c r="H16" i="2"/>
  <c r="J26" i="2"/>
  <c r="J18" i="2"/>
  <c r="J25" i="2"/>
  <c r="J22" i="2"/>
  <c r="J16" i="2"/>
  <c r="D8" i="6"/>
  <c r="C10" i="5"/>
  <c r="E6" i="5"/>
  <c r="E8" i="2"/>
  <c r="B11" i="2"/>
  <c r="B5" i="3"/>
  <c r="O11" i="6" l="1"/>
  <c r="O25" i="6" s="1"/>
  <c r="J23" i="2"/>
  <c r="J24" i="2"/>
  <c r="V23" i="5"/>
  <c r="J10" i="5" s="1"/>
  <c r="R10" i="5"/>
  <c r="J27" i="2"/>
  <c r="J19" i="2"/>
  <c r="P10" i="5"/>
  <c r="J21" i="2"/>
  <c r="J20" i="2"/>
  <c r="J28" i="2"/>
  <c r="J29" i="2"/>
  <c r="J17" i="2"/>
  <c r="H15" i="5"/>
  <c r="H27" i="5"/>
  <c r="H28" i="5"/>
  <c r="L10" i="5" l="1"/>
  <c r="I10" i="5"/>
  <c r="N10" i="5"/>
  <c r="Q10" i="5"/>
  <c r="K10" i="5"/>
  <c r="O10" i="5"/>
  <c r="M10" i="5"/>
  <c r="J15" i="2"/>
  <c r="J11" i="2" s="1"/>
  <c r="U10" i="5" l="1"/>
  <c r="D11" i="3"/>
  <c r="D9" i="3"/>
  <c r="F9" i="3" l="1"/>
  <c r="H9" i="3"/>
  <c r="H14" i="3" s="1"/>
  <c r="H15" i="3" s="1"/>
  <c r="G9" i="3"/>
  <c r="G14" i="3" s="1"/>
  <c r="G15" i="3" s="1"/>
  <c r="N14" i="3"/>
  <c r="N16" i="3" s="1"/>
  <c r="N17" i="3" s="1"/>
  <c r="H13" i="5"/>
  <c r="F14" i="3" l="1"/>
  <c r="N9" i="3"/>
  <c r="O17" i="3"/>
  <c r="F15" i="3" l="1"/>
  <c r="F17" i="3" s="1"/>
  <c r="G17" i="3" s="1"/>
  <c r="H17" i="3" s="1"/>
  <c r="F16" i="3"/>
  <c r="G16" i="3" s="1"/>
  <c r="H16" i="3" s="1"/>
  <c r="B11" i="6"/>
  <c r="B15" i="6"/>
  <c r="B19" i="6"/>
  <c r="B24" i="6"/>
  <c r="B17" i="6"/>
  <c r="B16" i="6"/>
  <c r="B21" i="6"/>
  <c r="B18" i="6"/>
  <c r="B12" i="2"/>
  <c r="B23" i="6"/>
  <c r="B14" i="2"/>
  <c r="B20" i="6"/>
  <c r="B12" i="6"/>
  <c r="H12" i="5"/>
  <c r="E12" i="5"/>
  <c r="F12" i="5"/>
  <c r="E14" i="5"/>
  <c r="H14" i="5"/>
  <c r="B22" i="6"/>
  <c r="B13" i="6"/>
  <c r="B13" i="2"/>
  <c r="B14" i="6"/>
  <c r="H11" i="5"/>
  <c r="E11" i="5"/>
  <c r="F11" i="5"/>
</calcChain>
</file>

<file path=xl/sharedStrings.xml><?xml version="1.0" encoding="utf-8"?>
<sst xmlns="http://schemas.openxmlformats.org/spreadsheetml/2006/main" count="352" uniqueCount="175">
  <si>
    <t>Grau de Sigilo</t>
  </si>
  <si>
    <t>#PUBLICO</t>
  </si>
  <si>
    <t>PROPONENTE / TOMADOR</t>
  </si>
  <si>
    <t>Conforme legislação tributária municipal, definir estimativa de percentual da base de cálculo para o ISS:</t>
  </si>
  <si>
    <t>Sobre a base de cálculo, definir a respectiva alíquota do ISS (entre 2% e 5%):</t>
  </si>
  <si>
    <t>BDI 1</t>
  </si>
  <si>
    <t>TIPO DE OBRA</t>
  </si>
  <si>
    <t>Itens</t>
  </si>
  <si>
    <t>Siglas</t>
  </si>
  <si>
    <t>% Adotado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</si>
  <si>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</si>
  <si>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</si>
  <si>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</si>
  <si>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</si>
  <si>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</si>
  <si>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</si>
  <si>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</si>
  <si>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</si>
  <si>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BDI COM desoneração</t>
  </si>
  <si>
    <t>BDI DES</t>
  </si>
  <si>
    <t>Os valores de BDI foram calculados com o emprego da fórmula:</t>
  </si>
  <si>
    <t>BDI =</t>
  </si>
  <si>
    <t xml:space="preserve"> - 1</t>
  </si>
  <si>
    <t>(1-CP-ISS-CRPB)</t>
  </si>
  <si>
    <t>Observações:</t>
  </si>
  <si>
    <t>Local</t>
  </si>
  <si>
    <t>Data</t>
  </si>
  <si>
    <t>Responsável Técnico</t>
  </si>
  <si>
    <t>Nome:</t>
  </si>
  <si>
    <t>CREA/CAU:</t>
  </si>
  <si>
    <t>ART/RRT: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</si>
  <si>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</si>
  <si>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</si>
  <si>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</si>
  <si>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</si>
  <si>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</si>
  <si>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</si>
  <si>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</si>
  <si>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</si>
  <si>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</si>
  <si>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</si>
  <si>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(1+AC + S + R + G)*(1 + DF)*(1+L)</t>
  </si>
  <si>
    <t>OBJETO</t>
  </si>
  <si>
    <t>Declaro para os devidos fins que, conforme legislação tributária municipal, a base de cálculo deste tipo de obra corresponde à 100%, com a respectiva alíquota de 5%</t>
  </si>
  <si>
    <t>PO - PLANILHA ORÇAMENTÁRIA</t>
  </si>
  <si>
    <t>DATA BASE</t>
  </si>
  <si>
    <t>Nível</t>
  </si>
  <si>
    <t>Item</t>
  </si>
  <si>
    <t>Fonte</t>
  </si>
  <si>
    <t>Código</t>
  </si>
  <si>
    <t>Descrição</t>
  </si>
  <si>
    <t>Unidade</t>
  </si>
  <si>
    <t>Quantidade</t>
  </si>
  <si>
    <t>Preço Unitário (com BDI) (R$)</t>
  </si>
  <si>
    <t>Preço Total
(R$)</t>
  </si>
  <si>
    <t>Serviço</t>
  </si>
  <si>
    <t>Nível 2</t>
  </si>
  <si>
    <t xml:space="preserve">Serviços Iniciais </t>
  </si>
  <si>
    <t>SEINFRA-MG</t>
  </si>
  <si>
    <t>ED-28427</t>
  </si>
  <si>
    <t>SÃO JOÃO DA LAGOA</t>
  </si>
  <si>
    <t>MUNICÍPIO / UF</t>
  </si>
  <si>
    <t>Memória de Cálculo</t>
  </si>
  <si>
    <t>1 UNIDADE</t>
  </si>
  <si>
    <t>Agrupador de Eventos</t>
  </si>
  <si>
    <t>TOTAL FINANC. POR FRENTE (R$):</t>
  </si>
  <si>
    <t>FRENTE DE OBRA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</si>
  <si>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</si>
  <si>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PLANILHA DE LEVANTAMENTO DE QUANTIDADES</t>
  </si>
  <si>
    <t>1.</t>
  </si>
  <si>
    <t>Valor (R$)</t>
  </si>
  <si>
    <t>Parcelas:</t>
  </si>
  <si>
    <t>% Período:</t>
  </si>
  <si>
    <t>1.1.</t>
  </si>
  <si>
    <t>1.4.</t>
  </si>
  <si>
    <t>%:</t>
  </si>
  <si>
    <t>CFF - CRONOGRAMA FÍSICO-FINANCEIRO</t>
  </si>
  <si>
    <t>Período</t>
  </si>
  <si>
    <t>Financeiro</t>
  </si>
  <si>
    <t>Acumulado</t>
  </si>
  <si>
    <t>UNI</t>
  </si>
  <si>
    <t>M</t>
  </si>
  <si>
    <t>Declaro para os devidos fins que o regime de Contribuição Previdenciária sobre a Receita Bruta adotado para elaboração do orçamento foi COM Desoneração, e que esta é a alternativa mais adequada para a Administração Pública.</t>
  </si>
  <si>
    <t>1.1</t>
  </si>
  <si>
    <t>1.1.1</t>
  </si>
  <si>
    <t>1.2</t>
  </si>
  <si>
    <t>PREFEITURA MUNICIPAL DE SÃO JOÃO DA LAGOA</t>
  </si>
  <si>
    <t>Cotação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</si>
  <si>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</si>
  <si>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</si>
  <si>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</si>
  <si>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</si>
  <si>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</si>
  <si>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</si>
  <si>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</si>
  <si>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</si>
  <si>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</si>
  <si>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</si>
  <si>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</si>
  <si>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</si>
  <si>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</si>
  <si>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</si>
  <si>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POSTES EXISTENTE A RETIRAR</t>
  </si>
  <si>
    <t>DERIVAÇÃO EM POSTES EXISTENTES</t>
  </si>
  <si>
    <t>POSTE DE CONCRETO CIRCULAR A INSTALAR DE 11 OU 12M E  300/600DAN. (COM FORNECIMENTO MATERIAL)</t>
  </si>
  <si>
    <t>LANÇAMENTO DE REDE PRIMARIA MONOFASICA A INSTALAR CABO 1#50+9,5-7,96KV (COM FORNECIMENTO MATERIAL)</t>
  </si>
  <si>
    <t>LANÇAMENTO DE REDE PRIMARIA TRIFASICA A INSTALAR CABO 3#50+9,5-13,8KV(COM FORNECIMENTO MATERIAL)</t>
  </si>
  <si>
    <t>LANÇAMENTO DE REDE SECUNDARIA BIFASICA COM CABO 2X1X70+X70 (COM FORNECIMENTO MATERIAL)</t>
  </si>
  <si>
    <t>LANÇAMENTO DE REDE SECUNDARIA TRIFASICA COM CABO 3X1X70+X70 (COM FORNECIMENTO MATERIAL)</t>
  </si>
  <si>
    <t>INSTALAÇÃO DE BRAÇO MEDIO PARA IP (COM FORNECIMENTO MATERIAL)</t>
  </si>
  <si>
    <t>INSTALAÇÃO DE LUMINARIA LED 150W COM RELÉ FOTOLETRICO (COM FORNECIMENTO MATERIAL)</t>
  </si>
  <si>
    <t>INSTALAÇÃO DE ESTRUTURAS DE BAIXA TENSÃO E CONEXÕES (COM FORNECIMENTO MATERIAL)</t>
  </si>
  <si>
    <t>CONJUNTO</t>
  </si>
  <si>
    <t>INSTALAÇÃO DE ESTRUTURAS DE MÉDIA TENSÃO E CONEXÕES (COM FORNECIMENTO MATERIAL)</t>
  </si>
  <si>
    <t>INSTALAÇÃO DE TRANFORMADOR MONOFASICO DE 25KVA E ACESSORIOS. (COM FORNECIMENTO MATERIAL)</t>
  </si>
  <si>
    <t>INSTALAÇÃO DE TRANFORMADOR MONOFASICO DE 37,5KVA E ACESSORIOS. (COM FORNECIMENTO MATERIAL)</t>
  </si>
  <si>
    <t>INSTALAÇÃO DE TRANFORMADOR TRIFASICO DE 45KVA E ACESSORIOS. (COM FORNECIMENTO MATERIAL)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</si>
  <si>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</si>
  <si>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</si>
  <si>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</si>
  <si>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</si>
  <si>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</si>
  <si>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</si>
  <si>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</si>
  <si>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</si>
  <si>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</si>
  <si>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</si>
  <si>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</si>
  <si>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</si>
  <si>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</si>
  <si>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</si>
  <si>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EXTENSÃO DE REDE</t>
  </si>
  <si>
    <t>REFERÊNCIA</t>
  </si>
  <si>
    <t>COTAÇÃO 01</t>
  </si>
  <si>
    <t>COTAÇÃO 02</t>
  </si>
  <si>
    <t>COTAÇÃO 03</t>
  </si>
  <si>
    <t>COTAÇÃO</t>
  </si>
  <si>
    <t xml:space="preserve">BDI </t>
  </si>
  <si>
    <t>VALOR MÉDIO (R$)</t>
  </si>
  <si>
    <t>EXECUÇÃO DE OBRAS DE EXTENSÃO E MODERNIZAÇÃO DA REDE DE ILUINAÇÃO PÚBLICA EM NOVOS TRECHOS DE VIAS URBANAS NA SEDE DO MUNÍCIPIO DE SÃO JOÃO DA LAGOA - MG E DISTRITO DE SÃO ROBERTO DE MINAS</t>
  </si>
  <si>
    <t>Construção e Manutenção de Estações e Redes de Distribuição de Energia Elétrica</t>
  </si>
  <si>
    <t>BDI</t>
  </si>
  <si>
    <t>SERVIÇOS INICIAIS</t>
  </si>
  <si>
    <t>PROJETO 01</t>
  </si>
  <si>
    <t>PROJETO 05</t>
  </si>
  <si>
    <t>PROJETO 06</t>
  </si>
  <si>
    <t>PROJETO 08</t>
  </si>
  <si>
    <t>PROJETO 09</t>
  </si>
  <si>
    <t>PROJETO 10</t>
  </si>
  <si>
    <t>PROJETO 14</t>
  </si>
  <si>
    <t>PROJETO 15</t>
  </si>
  <si>
    <t>-</t>
  </si>
  <si>
    <t>INSTALAÇÕES GERAIS</t>
  </si>
  <si>
    <t>PROJETO  11</t>
  </si>
  <si>
    <t>PROJETO 16</t>
  </si>
  <si>
    <t>BRENO DENILSON ANDRADE REIS</t>
  </si>
  <si>
    <t>143454 / D</t>
  </si>
  <si>
    <t>MG20265043644</t>
  </si>
  <si>
    <t>sexta-feira, 17 de Junho de 2026</t>
  </si>
  <si>
    <t>São João da Lagoa - MG</t>
  </si>
  <si>
    <t>01-2026 (DES)</t>
  </si>
  <si>
    <t>SEINFRA - MG / COTAÇÃO</t>
  </si>
  <si>
    <t>1 (PROJETO 01)+1 (PROJETO 09)+1 (PROJETO 14)+1 (PROJETO 15)= 4 UNI</t>
  </si>
  <si>
    <t>1 (PROJETO 01) + 1 (PROJETO 05) +1 (PROJETO 06) +1 (PROJETO 08) +1 (PROJETO 10) +1 (PROJETO 11) +3 (PROJETO 15) = 9 UNI</t>
  </si>
  <si>
    <t>3 (PROJETO 01) + 2 (PROJETO 05) + 4 (PROJETO 06) + 2 (PROJETO 08) + 3 (PROJETO 09) + 3 (PROJETO 10) + 3 (PROJETO 11) + 11 (PROJETO 11) + 3 (PROJETO 15) = 34 UNI</t>
  </si>
  <si>
    <t>135,3 M (PROJETO 01) + 343,2 M (PROJETO 14)+ 177,1 (PROJETO 15)= 655,60 M</t>
  </si>
  <si>
    <t>88,00 M (PROJETO 09) + 132 M (PROJETO 10)= 220,00 M</t>
  </si>
  <si>
    <t>85,8 M (PROJETO 01) + 431,2 M (PROJETO 14) + 77 M (PROJETO 15)= 594,00 M</t>
  </si>
  <si>
    <t>88,0 M (PROJETO 05) + 151,8 M (PROJETO 06) + 88,0 M (PROJETO 08) + 88,0 M (PROJETO 09) + 132,0 M (PROJETO 10) + 117,7 M (PROJETO 11)= 665,50 M</t>
  </si>
  <si>
    <t>1 (PROJETO 01)= 1 UNI</t>
  </si>
  <si>
    <t>4 (PROJETO 01) + 3 (PROJETO 09) + 4 (PROJETO 10) + 2 (PROJETO 14) + 6 (PROJETO 15) = 19 UNI</t>
  </si>
  <si>
    <t>2 (PROJETO 01) + 2 (PROJETO 05) + 4 (PROJETO 06) + 2 (PROJETO 08) + 2 (PROJETO 09) + 3 (PROJETO 10) + 3 (PROJETO 11) + 7 (PROJETO 14) + 2 (PROJETO 15) = 27 UNI</t>
  </si>
  <si>
    <t>3 (PROJETO 01) + 2 (PROJETO 05) + 5 (PROJETO 06) + 2 (PROJETO 08) + 3 (PROJETO 09) + 3 (PROJETO 10) + 3 (PROJETO 11) + 11 (PROJETO 14) + 2 (PROJETO 15) = 34 UNI</t>
  </si>
  <si>
    <t>2 (PROJETO 14) + 1 (PROJETO 15)= 3 UNI</t>
  </si>
  <si>
    <t>1 (PROJETO 09) + 1 (PROJETO 10) + 1 (PROJETO 16)= 3 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</si>
</sst>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&quot;R$ &quot;* #,##0.00_);_(&quot;R$ &quot;* \(#,##0.00\);_(&quot;R$ &quot;* \-??_);_(@_)"/>
    <numFmt numFmtId="165" formatCode="General;General"/>
    <numFmt numFmtId="166" formatCode="[$-F800]dddd\,\ mmmm\ dd\,\ yyyy"/>
    <numFmt numFmtId="167" formatCode="dd&quot; de &quot;mmmm&quot; de &quot;yyyy"/>
    <numFmt numFmtId="168" formatCode="_(* #,##0.00_);_(* \(#,##0.00\);_(* \-??_);_(@_)"/>
    <numFmt numFmtId="169" formatCode="0\."/>
    <numFmt numFmtId="170" formatCode="_-* #,##0.00_-;\-* #,##0.00_-;_-* \-??_-;_-@_-"/>
    <numFmt numFmtId="171" formatCode="_(\ #,##0.00_);_(&quot; (&quot;#,##0.00\);_(&quot; -&quot;??_);_(@_)"/>
    <numFmt numFmtId="172" formatCode="mm/yy"/>
    <numFmt numFmtId="173" formatCode="&quot;R$&quot;\ 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8"/>
      <name val="Aptos Narrow"/>
      <family val="2"/>
      <scheme val="minor"/>
    </font>
    <font>
      <sz val="10"/>
      <color indexed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23"/>
        <bgColor indexed="55"/>
      </patternFill>
    </fill>
    <fill>
      <patternFill patternType="lightUp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42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42"/>
      </patternFill>
    </fill>
    <fill>
      <patternFill patternType="solid">
        <fgColor theme="2" tint="-0.499984740745262"/>
        <bgColor indexed="26"/>
      </patternFill>
    </fill>
    <fill>
      <patternFill patternType="lightUp"/>
    </fill>
    <fill>
      <patternFill patternType="solid">
        <fgColor theme="1" tint="0.34998626667073579"/>
        <bgColor indexed="5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theme="1" tint="0.499984740745262"/>
        <bgColor indexed="26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164" fontId="3" fillId="0" borderId="0" applyFill="0" applyBorder="0" applyAlignment="0" applyProtection="0"/>
    <xf numFmtId="0" fontId="19" fillId="0" borderId="0"/>
    <xf numFmtId="170" fontId="3" fillId="0" borderId="0" applyFill="0" applyBorder="0" applyAlignment="0" applyProtection="0"/>
    <xf numFmtId="9" fontId="3" fillId="0" borderId="0" applyFill="0" applyBorder="0" applyAlignment="0" applyProtection="0"/>
  </cellStyleXfs>
  <cellXfs count="242">
    <xf numFmtId="0" fontId="0" fillId="0" borderId="0" xfId="0"/>
    <xf numFmtId="0" fontId="8" fillId="0" borderId="3" xfId="2" applyFont="1" applyBorder="1" applyAlignment="1">
      <alignment horizontal="center" vertical="center"/>
    </xf>
    <xf numFmtId="10" fontId="8" fillId="2" borderId="3" xfId="2" applyNumberFormat="1" applyFont="1" applyFill="1" applyBorder="1" applyAlignment="1" applyProtection="1">
      <alignment horizontal="center" vertical="center"/>
      <protection locked="0"/>
    </xf>
    <xf numFmtId="10" fontId="8" fillId="0" borderId="3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10" fontId="7" fillId="4" borderId="3" xfId="2" applyNumberFormat="1" applyFont="1" applyFill="1" applyBorder="1" applyAlignment="1">
      <alignment horizontal="center" vertical="center"/>
    </xf>
    <xf numFmtId="10" fontId="0" fillId="0" borderId="0" xfId="0" applyNumberFormat="1"/>
    <xf numFmtId="0" fontId="0" fillId="5" borderId="0" xfId="2" applyFont="1" applyFill="1" applyAlignment="1">
      <alignment horizontal="center" vertical="top"/>
    </xf>
    <xf numFmtId="0" fontId="11" fillId="5" borderId="0" xfId="2" applyFont="1" applyFill="1" applyAlignment="1">
      <alignment horizontal="center" vertical="top"/>
    </xf>
    <xf numFmtId="0" fontId="0" fillId="5" borderId="0" xfId="2" applyFont="1" applyFill="1"/>
    <xf numFmtId="167" fontId="0" fillId="5" borderId="0" xfId="2" applyNumberFormat="1" applyFont="1" applyFill="1"/>
    <xf numFmtId="0" fontId="5" fillId="5" borderId="5" xfId="2" applyFont="1" applyFill="1" applyBorder="1" applyAlignment="1">
      <alignment horizontal="left"/>
    </xf>
    <xf numFmtId="0" fontId="0" fillId="5" borderId="5" xfId="2" applyFont="1" applyFill="1" applyBorder="1"/>
    <xf numFmtId="0" fontId="8" fillId="5" borderId="0" xfId="2" applyFont="1" applyFill="1"/>
    <xf numFmtId="0" fontId="5" fillId="5" borderId="0" xfId="3" applyFont="1" applyFill="1" applyAlignment="1">
      <alignment horizontal="left" vertical="top"/>
    </xf>
    <xf numFmtId="0" fontId="6" fillId="5" borderId="0" xfId="2" applyFont="1" applyFill="1" applyAlignment="1">
      <alignment horizontal="left"/>
    </xf>
    <xf numFmtId="0" fontId="0" fillId="5" borderId="0" xfId="0" applyFill="1"/>
    <xf numFmtId="0" fontId="4" fillId="5" borderId="0" xfId="2" applyFont="1" applyFill="1" applyAlignment="1">
      <alignment horizontal="center"/>
    </xf>
    <xf numFmtId="0" fontId="5" fillId="5" borderId="0" xfId="2" applyFont="1" applyFill="1"/>
    <xf numFmtId="0" fontId="0" fillId="5" borderId="10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8" borderId="8" xfId="0" applyFill="1" applyBorder="1"/>
    <xf numFmtId="0" fontId="0" fillId="8" borderId="4" xfId="0" applyFill="1" applyBorder="1"/>
    <xf numFmtId="0" fontId="0" fillId="8" borderId="9" xfId="0" applyFill="1" applyBorder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68" fontId="5" fillId="7" borderId="19" xfId="1" applyNumberFormat="1" applyFont="1" applyFill="1" applyBorder="1" applyAlignment="1" applyProtection="1">
      <alignment horizontal="center" vertical="center" shrinkToFit="1"/>
    </xf>
    <xf numFmtId="0" fontId="2" fillId="12" borderId="19" xfId="0" applyFont="1" applyFill="1" applyBorder="1" applyAlignment="1">
      <alignment vertical="center" wrapText="1" shrinkToFit="1"/>
    </xf>
    <xf numFmtId="49" fontId="2" fillId="13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9" xfId="0" applyFont="1" applyFill="1" applyBorder="1" applyAlignment="1" applyProtection="1">
      <alignment horizontal="left" vertical="center" wrapText="1"/>
      <protection locked="0"/>
    </xf>
    <xf numFmtId="0" fontId="2" fillId="14" borderId="19" xfId="0" applyFont="1" applyFill="1" applyBorder="1" applyAlignment="1" applyProtection="1">
      <alignment horizontal="center" vertical="center" wrapText="1"/>
      <protection locked="0"/>
    </xf>
    <xf numFmtId="168" fontId="2" fillId="12" borderId="19" xfId="1" applyNumberFormat="1" applyFont="1" applyFill="1" applyBorder="1" applyAlignment="1" applyProtection="1">
      <alignment horizontal="center" vertical="center" shrinkToFit="1"/>
    </xf>
    <xf numFmtId="0" fontId="2" fillId="9" borderId="19" xfId="0" applyFont="1" applyFill="1" applyBorder="1" applyAlignment="1">
      <alignment vertical="center" wrapText="1" shrinkToFit="1"/>
    </xf>
    <xf numFmtId="49" fontId="2" fillId="10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1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1" borderId="19" xfId="0" applyFont="1" applyFill="1" applyBorder="1" applyAlignment="1" applyProtection="1">
      <alignment horizontal="left" vertical="center" wrapText="1"/>
      <protection locked="0"/>
    </xf>
    <xf numFmtId="0" fontId="2" fillId="11" borderId="19" xfId="0" applyFont="1" applyFill="1" applyBorder="1" applyAlignment="1" applyProtection="1">
      <alignment horizontal="center" vertical="center" wrapText="1"/>
      <protection locked="0"/>
    </xf>
    <xf numFmtId="168" fontId="2" fillId="9" borderId="19" xfId="1" applyNumberFormat="1" applyFont="1" applyFill="1" applyBorder="1" applyAlignment="1" applyProtection="1">
      <alignment vertical="center" shrinkToFit="1"/>
    </xf>
    <xf numFmtId="168" fontId="2" fillId="9" borderId="19" xfId="1" applyNumberFormat="1" applyFont="1" applyFill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wrapText="1" shrinkToFit="1"/>
    </xf>
    <xf numFmtId="49" fontId="0" fillId="3" borderId="19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68" fontId="0" fillId="0" borderId="19" xfId="1" applyNumberFormat="1" applyFont="1" applyFill="1" applyBorder="1" applyAlignment="1" applyProtection="1">
      <alignment vertical="center" shrinkToFit="1"/>
    </xf>
    <xf numFmtId="43" fontId="0" fillId="2" borderId="19" xfId="1" applyFont="1" applyFill="1" applyBorder="1" applyAlignment="1" applyProtection="1">
      <alignment vertical="center" wrapText="1"/>
      <protection locked="0"/>
    </xf>
    <xf numFmtId="168" fontId="0" fillId="0" borderId="19" xfId="1" applyNumberFormat="1" applyFont="1" applyFill="1" applyBorder="1" applyAlignment="1" applyProtection="1">
      <alignment horizontal="center" vertical="center" shrinkToFit="1"/>
    </xf>
    <xf numFmtId="168" fontId="0" fillId="0" borderId="0" xfId="0" applyNumberFormat="1"/>
    <xf numFmtId="0" fontId="8" fillId="5" borderId="0" xfId="0" applyFont="1" applyFill="1" applyAlignment="1">
      <alignment horizontal="left" wrapText="1"/>
    </xf>
    <xf numFmtId="0" fontId="7" fillId="5" borderId="12" xfId="2" applyFont="1" applyFill="1" applyBorder="1" applyAlignment="1">
      <alignment vertical="center"/>
    </xf>
    <xf numFmtId="0" fontId="5" fillId="5" borderId="0" xfId="0" applyFont="1" applyFill="1"/>
    <xf numFmtId="0" fontId="0" fillId="5" borderId="0" xfId="2" applyFont="1" applyFill="1" applyAlignment="1">
      <alignment vertical="center"/>
    </xf>
    <xf numFmtId="0" fontId="5" fillId="5" borderId="5" xfId="0" applyFont="1" applyFill="1" applyBorder="1"/>
    <xf numFmtId="0" fontId="0" fillId="5" borderId="5" xfId="0" applyFill="1" applyBorder="1"/>
    <xf numFmtId="0" fontId="0" fillId="5" borderId="5" xfId="2" applyFont="1" applyFill="1" applyBorder="1" applyAlignment="1">
      <alignment horizontal="left" vertical="top" wrapText="1"/>
    </xf>
    <xf numFmtId="0" fontId="0" fillId="5" borderId="5" xfId="2" applyFont="1" applyFill="1" applyBorder="1" applyAlignment="1">
      <alignment vertical="top" wrapText="1"/>
    </xf>
    <xf numFmtId="0" fontId="2" fillId="5" borderId="0" xfId="2" applyFont="1" applyFill="1" applyAlignment="1">
      <alignment vertical="top" wrapText="1"/>
    </xf>
    <xf numFmtId="0" fontId="2" fillId="5" borderId="21" xfId="2" applyFont="1" applyFill="1" applyBorder="1" applyAlignment="1">
      <alignment horizontal="center" vertical="top" wrapText="1"/>
    </xf>
    <xf numFmtId="0" fontId="0" fillId="5" borderId="12" xfId="2" applyFont="1" applyFill="1" applyBorder="1" applyAlignment="1">
      <alignment vertical="top" wrapText="1"/>
    </xf>
    <xf numFmtId="0" fontId="0" fillId="5" borderId="20" xfId="2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49" fontId="0" fillId="2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16" fillId="0" borderId="19" xfId="1" applyNumberFormat="1" applyFont="1" applyFill="1" applyBorder="1" applyAlignment="1" applyProtection="1">
      <alignment vertical="center" wrapText="1" shrinkToFit="1"/>
    </xf>
    <xf numFmtId="43" fontId="0" fillId="2" borderId="19" xfId="1" applyFont="1" applyFill="1" applyBorder="1" applyAlignment="1" applyProtection="1">
      <alignment vertical="center" shrinkToFit="1"/>
      <protection locked="0"/>
    </xf>
    <xf numFmtId="0" fontId="5" fillId="16" borderId="19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left" vertical="center" wrapText="1"/>
    </xf>
    <xf numFmtId="0" fontId="2" fillId="9" borderId="19" xfId="0" applyFont="1" applyFill="1" applyBorder="1" applyAlignment="1">
      <alignment horizontal="center" vertical="center" wrapText="1"/>
    </xf>
    <xf numFmtId="49" fontId="2" fillId="11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18" fillId="9" borderId="19" xfId="1" applyNumberFormat="1" applyFont="1" applyFill="1" applyBorder="1" applyAlignment="1" applyProtection="1">
      <alignment vertical="center" wrapText="1" shrinkToFit="1"/>
    </xf>
    <xf numFmtId="43" fontId="2" fillId="11" borderId="19" xfId="1" applyFont="1" applyFill="1" applyBorder="1" applyAlignment="1" applyProtection="1">
      <alignment vertical="center" shrinkToFit="1"/>
      <protection locked="0"/>
    </xf>
    <xf numFmtId="0" fontId="17" fillId="9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0" xfId="2" applyFont="1" applyFill="1" applyAlignment="1">
      <alignment horizontal="left" vertical="center" wrapText="1"/>
    </xf>
    <xf numFmtId="0" fontId="13" fillId="5" borderId="0" xfId="4" applyNumberFormat="1" applyFont="1" applyFill="1" applyBorder="1" applyAlignment="1" applyProtection="1">
      <alignment horizontal="left" vertical="center" wrapText="1"/>
    </xf>
    <xf numFmtId="0" fontId="2" fillId="9" borderId="19" xfId="0" applyFont="1" applyFill="1" applyBorder="1" applyAlignment="1">
      <alignment vertical="center"/>
    </xf>
    <xf numFmtId="0" fontId="2" fillId="9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5" borderId="1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20" fillId="5" borderId="19" xfId="5" applyFont="1" applyFill="1" applyBorder="1" applyAlignment="1" applyProtection="1">
      <alignment horizontal="center" vertical="center"/>
      <protection locked="0"/>
    </xf>
    <xf numFmtId="0" fontId="20" fillId="0" borderId="19" xfId="5" applyFont="1" applyBorder="1" applyAlignment="1">
      <alignment horizontal="center" vertical="center"/>
    </xf>
    <xf numFmtId="169" fontId="21" fillId="0" borderId="19" xfId="5" applyNumberFormat="1" applyFont="1" applyBorder="1" applyAlignment="1">
      <alignment horizontal="left" vertical="center"/>
    </xf>
    <xf numFmtId="171" fontId="1" fillId="0" borderId="19" xfId="1" applyNumberFormat="1" applyFill="1" applyBorder="1" applyAlignment="1" applyProtection="1">
      <alignment horizontal="right" vertical="center" shrinkToFit="1"/>
    </xf>
    <xf numFmtId="171" fontId="0" fillId="0" borderId="19" xfId="1" applyNumberFormat="1" applyFont="1" applyFill="1" applyBorder="1" applyAlignment="1" applyProtection="1">
      <alignment horizontal="center" vertical="center"/>
    </xf>
    <xf numFmtId="10" fontId="15" fillId="0" borderId="19" xfId="7" applyNumberFormat="1" applyFont="1" applyFill="1" applyBorder="1" applyAlignment="1" applyProtection="1">
      <alignment horizontal="center" vertical="center"/>
    </xf>
    <xf numFmtId="170" fontId="0" fillId="4" borderId="19" xfId="6" applyFont="1" applyFill="1" applyBorder="1" applyAlignment="1" applyProtection="1">
      <alignment horizontal="right" vertical="center"/>
    </xf>
    <xf numFmtId="10" fontId="15" fillId="5" borderId="19" xfId="7" applyNumberFormat="1" applyFont="1" applyFill="1" applyBorder="1" applyAlignment="1" applyProtection="1">
      <alignment horizontal="center" vertical="center"/>
    </xf>
    <xf numFmtId="170" fontId="5" fillId="4" borderId="19" xfId="6" applyFont="1" applyFill="1" applyBorder="1" applyAlignment="1" applyProtection="1">
      <alignment horizontal="right" vertical="center"/>
    </xf>
    <xf numFmtId="170" fontId="22" fillId="18" borderId="19" xfId="6" applyFont="1" applyFill="1" applyBorder="1" applyAlignment="1" applyProtection="1">
      <alignment horizontal="center" vertical="center" shrinkToFit="1"/>
    </xf>
    <xf numFmtId="10" fontId="15" fillId="5" borderId="0" xfId="7" applyNumberFormat="1" applyFont="1" applyFill="1" applyBorder="1" applyAlignment="1" applyProtection="1">
      <alignment horizontal="center" vertical="center"/>
    </xf>
    <xf numFmtId="170" fontId="7" fillId="18" borderId="0" xfId="6" applyFont="1" applyFill="1" applyBorder="1" applyAlignment="1" applyProtection="1">
      <alignment horizontal="center" vertical="center" shrinkToFit="1"/>
    </xf>
    <xf numFmtId="10" fontId="21" fillId="0" borderId="19" xfId="5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textRotation="90" wrapText="1"/>
    </xf>
    <xf numFmtId="0" fontId="12" fillId="5" borderId="0" xfId="0" applyFont="1" applyFill="1" applyAlignment="1">
      <alignment horizontal="center" vertical="center"/>
    </xf>
    <xf numFmtId="0" fontId="0" fillId="19" borderId="19" xfId="0" applyFill="1" applyBorder="1" applyAlignment="1">
      <alignment vertical="center" wrapText="1"/>
    </xf>
    <xf numFmtId="0" fontId="0" fillId="0" borderId="19" xfId="0" applyBorder="1" applyAlignment="1">
      <alignment horizontal="justify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3" fillId="5" borderId="0" xfId="2" applyFill="1"/>
    <xf numFmtId="0" fontId="3" fillId="5" borderId="0" xfId="2" applyFill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3" fillId="5" borderId="0" xfId="2" applyFill="1" applyAlignment="1">
      <alignment horizontal="left"/>
    </xf>
    <xf numFmtId="0" fontId="7" fillId="5" borderId="0" xfId="2" applyFont="1" applyFill="1" applyAlignment="1">
      <alignment vertical="center"/>
    </xf>
    <xf numFmtId="43" fontId="0" fillId="20" borderId="19" xfId="1" applyFont="1" applyFill="1" applyBorder="1" applyAlignment="1" applyProtection="1">
      <alignment vertical="center" wrapText="1"/>
      <protection locked="0"/>
    </xf>
    <xf numFmtId="168" fontId="0" fillId="19" borderId="19" xfId="1" applyNumberFormat="1" applyFont="1" applyFill="1" applyBorder="1" applyAlignment="1" applyProtection="1">
      <alignment vertical="center" shrinkToFit="1"/>
    </xf>
    <xf numFmtId="0" fontId="0" fillId="5" borderId="12" xfId="2" applyFont="1" applyFill="1" applyBorder="1" applyAlignment="1">
      <alignment vertical="center" wrapText="1"/>
    </xf>
    <xf numFmtId="10" fontId="0" fillId="5" borderId="20" xfId="2" applyNumberFormat="1" applyFont="1" applyFill="1" applyBorder="1" applyAlignment="1">
      <alignment horizontal="center" vertical="center" wrapText="1"/>
    </xf>
    <xf numFmtId="43" fontId="0" fillId="0" borderId="0" xfId="0" applyNumberFormat="1"/>
    <xf numFmtId="2" fontId="0" fillId="0" borderId="0" xfId="0" applyNumberFormat="1"/>
    <xf numFmtId="0" fontId="0" fillId="0" borderId="19" xfId="0" applyBorder="1"/>
    <xf numFmtId="0" fontId="0" fillId="5" borderId="27" xfId="0" applyFill="1" applyBorder="1" applyAlignment="1">
      <alignment horizontal="center"/>
    </xf>
    <xf numFmtId="10" fontId="0" fillId="5" borderId="20" xfId="2" applyNumberFormat="1" applyFont="1" applyFill="1" applyBorder="1" applyAlignment="1">
      <alignment horizontal="center" vertical="top" wrapText="1"/>
    </xf>
    <xf numFmtId="10" fontId="21" fillId="0" borderId="19" xfId="5" applyNumberFormat="1" applyFont="1" applyBorder="1" applyAlignment="1">
      <alignment horizontal="left" vertical="center" wrapText="1"/>
    </xf>
    <xf numFmtId="0" fontId="2" fillId="21" borderId="19" xfId="0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73" fontId="0" fillId="0" borderId="0" xfId="0" applyNumberFormat="1" applyAlignment="1">
      <alignment vertical="center"/>
    </xf>
    <xf numFmtId="4" fontId="7" fillId="16" borderId="19" xfId="0" applyNumberFormat="1" applyFont="1" applyFill="1" applyBorder="1" applyAlignment="1">
      <alignment horizontal="right" vertical="center" shrinkToFit="1"/>
    </xf>
    <xf numFmtId="0" fontId="7" fillId="5" borderId="0" xfId="2" applyFont="1" applyFill="1" applyAlignment="1">
      <alignment horizontal="center" vertical="center"/>
    </xf>
    <xf numFmtId="172" fontId="20" fillId="19" borderId="19" xfId="5" applyNumberFormat="1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>
      <alignment horizontal="center" vertical="center"/>
    </xf>
    <xf numFmtId="0" fontId="2" fillId="5" borderId="14" xfId="2" applyFont="1" applyFill="1" applyBorder="1" applyAlignment="1">
      <alignment horizontal="center" vertical="top" wrapText="1"/>
    </xf>
    <xf numFmtId="0" fontId="2" fillId="5" borderId="10" xfId="2" applyFont="1" applyFill="1" applyBorder="1" applyAlignment="1">
      <alignment horizontal="center" vertical="top" wrapText="1"/>
    </xf>
    <xf numFmtId="0" fontId="0" fillId="5" borderId="13" xfId="2" applyFont="1" applyFill="1" applyBorder="1" applyAlignment="1">
      <alignment horizontal="center" vertical="center" wrapText="1"/>
    </xf>
    <xf numFmtId="0" fontId="0" fillId="5" borderId="11" xfId="2" applyFont="1" applyFill="1" applyBorder="1" applyAlignment="1">
      <alignment horizontal="center" vertical="center" wrapText="1"/>
    </xf>
    <xf numFmtId="0" fontId="5" fillId="5" borderId="6" xfId="3" applyFont="1" applyFill="1" applyBorder="1" applyAlignment="1">
      <alignment horizontal="left" vertical="top"/>
    </xf>
    <xf numFmtId="0" fontId="5" fillId="5" borderId="0" xfId="3" applyFont="1" applyFill="1" applyAlignment="1">
      <alignment horizontal="left" vertical="top"/>
    </xf>
    <xf numFmtId="0" fontId="5" fillId="5" borderId="10" xfId="3" applyFont="1" applyFill="1" applyBorder="1" applyAlignment="1">
      <alignment horizontal="left" vertical="top"/>
    </xf>
    <xf numFmtId="0" fontId="0" fillId="5" borderId="8" xfId="2" applyFont="1" applyFill="1" applyBorder="1" applyAlignment="1">
      <alignment horizontal="left" vertical="top" wrapText="1"/>
    </xf>
    <xf numFmtId="0" fontId="0" fillId="5" borderId="4" xfId="2" applyFont="1" applyFill="1" applyBorder="1" applyAlignment="1">
      <alignment horizontal="left" vertical="top" wrapText="1"/>
    </xf>
    <xf numFmtId="0" fontId="5" fillId="5" borderId="7" xfId="3" applyFont="1" applyFill="1" applyBorder="1" applyAlignment="1">
      <alignment horizontal="left" vertical="top"/>
    </xf>
    <xf numFmtId="0" fontId="13" fillId="5" borderId="8" xfId="4" applyNumberFormat="1" applyFont="1" applyFill="1" applyBorder="1" applyAlignment="1" applyProtection="1">
      <alignment horizontal="left" wrapText="1"/>
    </xf>
    <xf numFmtId="0" fontId="13" fillId="5" borderId="4" xfId="4" applyNumberFormat="1" applyFont="1" applyFill="1" applyBorder="1" applyAlignment="1" applyProtection="1">
      <alignment horizontal="left" wrapText="1"/>
    </xf>
    <xf numFmtId="0" fontId="13" fillId="5" borderId="9" xfId="4" applyNumberFormat="1" applyFont="1" applyFill="1" applyBorder="1" applyAlignment="1" applyProtection="1">
      <alignment horizontal="left" wrapText="1"/>
    </xf>
    <xf numFmtId="0" fontId="0" fillId="5" borderId="13" xfId="2" applyFont="1" applyFill="1" applyBorder="1" applyAlignment="1">
      <alignment horizontal="left" vertical="top" wrapText="1"/>
    </xf>
    <xf numFmtId="0" fontId="0" fillId="5" borderId="12" xfId="2" applyFont="1" applyFill="1" applyBorder="1" applyAlignment="1">
      <alignment horizontal="left" vertical="top" wrapText="1"/>
    </xf>
    <xf numFmtId="0" fontId="0" fillId="5" borderId="11" xfId="2" applyFont="1" applyFill="1" applyBorder="1" applyAlignment="1">
      <alignment horizontal="left" vertical="top" wrapText="1"/>
    </xf>
    <xf numFmtId="0" fontId="2" fillId="5" borderId="14" xfId="2" applyFont="1" applyFill="1" applyBorder="1" applyAlignment="1">
      <alignment horizontal="left" vertical="top" wrapText="1"/>
    </xf>
    <xf numFmtId="0" fontId="2" fillId="5" borderId="0" xfId="2" applyFont="1" applyFill="1" applyAlignment="1">
      <alignment horizontal="left" vertical="top" wrapText="1"/>
    </xf>
    <xf numFmtId="0" fontId="2" fillId="5" borderId="10" xfId="2" applyFont="1" applyFill="1" applyBorder="1" applyAlignment="1">
      <alignment horizontal="left" vertical="top" wrapText="1"/>
    </xf>
    <xf numFmtId="0" fontId="3" fillId="5" borderId="0" xfId="2" applyFill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5" fontId="0" fillId="5" borderId="4" xfId="0" applyNumberFormat="1" applyFill="1" applyBorder="1" applyAlignment="1">
      <alignment horizontal="left"/>
    </xf>
    <xf numFmtId="166" fontId="0" fillId="5" borderId="4" xfId="2" applyNumberFormat="1" applyFont="1" applyFill="1" applyBorder="1" applyAlignment="1">
      <alignment horizontal="left"/>
    </xf>
    <xf numFmtId="0" fontId="1" fillId="5" borderId="6" xfId="2" applyFont="1" applyFill="1" applyBorder="1" applyAlignment="1">
      <alignment horizontal="center" vertical="top" wrapText="1"/>
    </xf>
    <xf numFmtId="0" fontId="1" fillId="5" borderId="0" xfId="2" applyFont="1" applyFill="1" applyAlignment="1">
      <alignment horizontal="center" vertical="top" wrapText="1"/>
    </xf>
    <xf numFmtId="0" fontId="1" fillId="5" borderId="7" xfId="2" applyFont="1" applyFill="1" applyBorder="1" applyAlignment="1">
      <alignment horizontal="center" vertical="top" wrapText="1"/>
    </xf>
    <xf numFmtId="0" fontId="5" fillId="7" borderId="19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0" fillId="8" borderId="19" xfId="0" applyFill="1" applyBorder="1" applyAlignment="1">
      <alignment horizontal="center"/>
    </xf>
    <xf numFmtId="0" fontId="6" fillId="5" borderId="0" xfId="2" applyFont="1" applyFill="1" applyAlignment="1">
      <alignment horizontal="center" vertical="center"/>
    </xf>
    <xf numFmtId="3" fontId="6" fillId="5" borderId="0" xfId="2" applyNumberFormat="1" applyFont="1" applyFill="1" applyAlignment="1">
      <alignment horizontal="left" vertical="center"/>
    </xf>
    <xf numFmtId="0" fontId="6" fillId="5" borderId="0" xfId="2" applyFont="1" applyFill="1" applyAlignment="1">
      <alignment horizontal="left" vertical="center"/>
    </xf>
    <xf numFmtId="0" fontId="0" fillId="5" borderId="9" xfId="2" applyFont="1" applyFill="1" applyBorder="1" applyAlignment="1">
      <alignment horizontal="left" vertical="top" wrapText="1"/>
    </xf>
    <xf numFmtId="49" fontId="0" fillId="6" borderId="3" xfId="2" applyNumberFormat="1" applyFont="1" applyFill="1" applyBorder="1" applyAlignment="1" applyProtection="1">
      <alignment horizontal="left" vertical="top" wrapText="1"/>
      <protection locked="0"/>
    </xf>
    <xf numFmtId="165" fontId="0" fillId="5" borderId="4" xfId="2" applyNumberFormat="1" applyFont="1" applyFill="1" applyBorder="1" applyAlignment="1">
      <alignment horizontal="left"/>
    </xf>
    <xf numFmtId="0" fontId="5" fillId="5" borderId="0" xfId="2" applyFont="1" applyFill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0" fontId="0" fillId="5" borderId="5" xfId="2" applyFont="1" applyFill="1" applyBorder="1" applyAlignment="1">
      <alignment horizontal="center" vertical="center"/>
    </xf>
    <xf numFmtId="0" fontId="9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top"/>
    </xf>
    <xf numFmtId="0" fontId="6" fillId="5" borderId="3" xfId="2" applyFont="1" applyFill="1" applyBorder="1" applyAlignment="1">
      <alignment horizontal="left" vertical="center" wrapText="1"/>
    </xf>
    <xf numFmtId="0" fontId="0" fillId="0" borderId="3" xfId="2" applyFont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0" fillId="5" borderId="0" xfId="2" applyFont="1" applyFill="1" applyAlignment="1">
      <alignment horizontal="center" vertical="center"/>
    </xf>
    <xf numFmtId="0" fontId="6" fillId="0" borderId="3" xfId="2" applyFont="1" applyBorder="1" applyAlignment="1">
      <alignment horizontal="left"/>
    </xf>
    <xf numFmtId="10" fontId="6" fillId="2" borderId="3" xfId="2" applyNumberFormat="1" applyFont="1" applyFill="1" applyBorder="1" applyAlignment="1" applyProtection="1">
      <alignment horizontal="center"/>
      <protection locked="0"/>
    </xf>
    <xf numFmtId="0" fontId="4" fillId="0" borderId="3" xfId="2" applyFont="1" applyBorder="1" applyAlignment="1">
      <alignment horizontal="center"/>
    </xf>
    <xf numFmtId="0" fontId="5" fillId="0" borderId="1" xfId="3" applyFont="1" applyBorder="1" applyAlignment="1">
      <alignment horizontal="left" vertical="top"/>
    </xf>
    <xf numFmtId="164" fontId="6" fillId="3" borderId="2" xfId="4" applyFont="1" applyFill="1" applyBorder="1" applyAlignment="1" applyProtection="1">
      <alignment horizontal="left"/>
      <protection locked="0"/>
    </xf>
    <xf numFmtId="0" fontId="7" fillId="0" borderId="3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" xfId="3" applyFont="1" applyFill="1" applyBorder="1" applyAlignment="1">
      <alignment horizontal="left" vertical="top"/>
    </xf>
    <xf numFmtId="0" fontId="6" fillId="5" borderId="2" xfId="4" applyNumberFormat="1" applyFont="1" applyFill="1" applyBorder="1" applyAlignment="1" applyProtection="1">
      <alignment horizontal="left" wrapText="1"/>
    </xf>
    <xf numFmtId="0" fontId="6" fillId="0" borderId="3" xfId="2" applyFont="1" applyBorder="1" applyAlignment="1">
      <alignment horizontal="left" wrapText="1"/>
    </xf>
    <xf numFmtId="170" fontId="2" fillId="4" borderId="19" xfId="6" applyFont="1" applyFill="1" applyBorder="1" applyAlignment="1" applyProtection="1">
      <alignment horizontal="center" vertical="center"/>
    </xf>
    <xf numFmtId="169" fontId="21" fillId="0" borderId="0" xfId="5" applyNumberFormat="1" applyFont="1" applyAlignment="1">
      <alignment horizontal="center" vertical="center"/>
    </xf>
    <xf numFmtId="0" fontId="0" fillId="5" borderId="17" xfId="2" applyFont="1" applyFill="1" applyBorder="1" applyAlignment="1">
      <alignment horizontal="left" vertical="center"/>
    </xf>
    <xf numFmtId="0" fontId="7" fillId="5" borderId="12" xfId="2" applyFont="1" applyFill="1" applyBorder="1" applyAlignment="1">
      <alignment horizontal="center" vertical="center"/>
    </xf>
    <xf numFmtId="0" fontId="21" fillId="8" borderId="19" xfId="5" applyFont="1" applyFill="1" applyBorder="1" applyAlignment="1">
      <alignment horizontal="center" vertical="center"/>
    </xf>
    <xf numFmtId="0" fontId="5" fillId="5" borderId="14" xfId="3" applyFont="1" applyFill="1" applyBorder="1" applyAlignment="1">
      <alignment horizontal="left" vertical="center"/>
    </xf>
    <xf numFmtId="0" fontId="5" fillId="5" borderId="0" xfId="3" applyFont="1" applyFill="1" applyAlignment="1">
      <alignment horizontal="left" vertical="center"/>
    </xf>
    <xf numFmtId="0" fontId="5" fillId="5" borderId="10" xfId="3" applyFont="1" applyFill="1" applyBorder="1" applyAlignment="1">
      <alignment horizontal="left" vertical="center"/>
    </xf>
    <xf numFmtId="0" fontId="13" fillId="5" borderId="13" xfId="4" applyNumberFormat="1" applyFont="1" applyFill="1" applyBorder="1" applyAlignment="1" applyProtection="1">
      <alignment horizontal="left" vertical="center" wrapText="1"/>
    </xf>
    <xf numFmtId="0" fontId="13" fillId="5" borderId="12" xfId="4" applyNumberFormat="1" applyFont="1" applyFill="1" applyBorder="1" applyAlignment="1" applyProtection="1">
      <alignment horizontal="left" vertical="center" wrapText="1"/>
    </xf>
    <xf numFmtId="0" fontId="13" fillId="5" borderId="11" xfId="4" applyNumberFormat="1" applyFont="1" applyFill="1" applyBorder="1" applyAlignment="1" applyProtection="1">
      <alignment horizontal="left" vertical="center" wrapText="1"/>
    </xf>
    <xf numFmtId="0" fontId="20" fillId="0" borderId="19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left" vertical="center" wrapText="1"/>
    </xf>
    <xf numFmtId="170" fontId="5" fillId="0" borderId="19" xfId="6" applyFont="1" applyFill="1" applyBorder="1" applyAlignment="1" applyProtection="1">
      <alignment horizontal="center" vertical="center" wrapText="1"/>
    </xf>
    <xf numFmtId="171" fontId="5" fillId="0" borderId="19" xfId="1" applyNumberFormat="1" applyFont="1" applyFill="1" applyBorder="1" applyAlignment="1" applyProtection="1">
      <alignment horizontal="center" vertical="center"/>
    </xf>
    <xf numFmtId="0" fontId="0" fillId="5" borderId="13" xfId="2" applyFont="1" applyFill="1" applyBorder="1" applyAlignment="1">
      <alignment horizontal="left" vertical="center" wrapText="1"/>
    </xf>
    <xf numFmtId="0" fontId="0" fillId="5" borderId="11" xfId="2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6" fontId="0" fillId="5" borderId="12" xfId="0" applyNumberForma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2" fillId="17" borderId="22" xfId="0" applyFont="1" applyFill="1" applyBorder="1" applyAlignment="1">
      <alignment horizontal="left" vertical="center" wrapText="1"/>
    </xf>
    <xf numFmtId="0" fontId="2" fillId="17" borderId="23" xfId="0" applyFont="1" applyFill="1" applyBorder="1" applyAlignment="1">
      <alignment horizontal="left" vertical="center" wrapText="1"/>
    </xf>
    <xf numFmtId="0" fontId="2" fillId="17" borderId="24" xfId="0" applyFont="1" applyFill="1" applyBorder="1" applyAlignment="1">
      <alignment horizontal="left" vertical="center" wrapText="1"/>
    </xf>
    <xf numFmtId="0" fontId="0" fillId="5" borderId="12" xfId="2" applyFont="1" applyFill="1" applyBorder="1" applyAlignment="1">
      <alignment horizontal="left" vertical="center" wrapText="1"/>
    </xf>
    <xf numFmtId="165" fontId="0" fillId="5" borderId="12" xfId="0" applyNumberFormat="1" applyFill="1" applyBorder="1" applyAlignment="1">
      <alignment horizontal="left" vertical="center"/>
    </xf>
    <xf numFmtId="0" fontId="5" fillId="5" borderId="14" xfId="3" applyFont="1" applyFill="1" applyBorder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0" fontId="15" fillId="15" borderId="1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0" fillId="5" borderId="8" xfId="2" applyFont="1" applyFill="1" applyBorder="1" applyAlignment="1">
      <alignment horizontal="left" vertical="center" wrapText="1"/>
    </xf>
    <xf numFmtId="0" fontId="0" fillId="5" borderId="4" xfId="2" applyFont="1" applyFill="1" applyBorder="1" applyAlignment="1">
      <alignment horizontal="left" vertical="center" wrapText="1"/>
    </xf>
    <xf numFmtId="0" fontId="13" fillId="5" borderId="8" xfId="4" applyNumberFormat="1" applyFont="1" applyFill="1" applyBorder="1" applyAlignment="1" applyProtection="1">
      <alignment horizontal="left" vertical="center" wrapText="1"/>
    </xf>
    <xf numFmtId="0" fontId="13" fillId="5" borderId="4" xfId="4" applyNumberFormat="1" applyFont="1" applyFill="1" applyBorder="1" applyAlignment="1" applyProtection="1">
      <alignment horizontal="left" vertical="center" wrapText="1"/>
    </xf>
    <xf numFmtId="0" fontId="13" fillId="5" borderId="9" xfId="4" applyNumberFormat="1" applyFont="1" applyFill="1" applyBorder="1" applyAlignment="1" applyProtection="1">
      <alignment horizontal="left" vertical="center" wrapText="1"/>
    </xf>
    <xf numFmtId="0" fontId="0" fillId="5" borderId="13" xfId="2" applyFont="1" applyFill="1" applyBorder="1" applyAlignment="1">
      <alignment horizontal="center" vertical="top" wrapText="1"/>
    </xf>
    <xf numFmtId="0" fontId="0" fillId="5" borderId="11" xfId="2" applyFont="1" applyFill="1" applyBorder="1" applyAlignment="1">
      <alignment horizontal="center" vertical="top" wrapText="1"/>
    </xf>
    <xf numFmtId="0" fontId="2" fillId="5" borderId="0" xfId="2" applyFont="1" applyFill="1" applyAlignment="1">
      <alignment horizontal="center" vertical="top" wrapText="1"/>
    </xf>
  </cellXfs>
  <cellStyles count="8">
    <cellStyle name="Moeda_Composicao BDI v2.1" xfId="4" xr:uid="{77E6601F-97A9-4825-9466-8DA052584CDF}"/>
    <cellStyle name="Normal" xfId="0" builtinId="0"/>
    <cellStyle name="Normal 2" xfId="2" xr:uid="{3FE8E9BA-E88B-410F-AAEC-2B610338A376}"/>
    <cellStyle name="Normal 3" xfId="5" xr:uid="{DB485E2D-25B6-4E75-981B-8CC174FAE600}"/>
    <cellStyle name="Normal_FICHA DE VERIFICAÇÃO PRELIMINAR - Plano R" xfId="3" xr:uid="{44D01A67-047D-449D-8928-C3603CE7E120}"/>
    <cellStyle name="Porcentagem 2" xfId="7" xr:uid="{1024FC5D-2FF1-48D8-A15F-35E89DEDA41C}"/>
    <cellStyle name="Vírgula" xfId="1" builtinId="3"/>
    <cellStyle name="Vírgula 2" xfId="6" xr:uid="{41EF5ADF-E518-4D51-9D78-6981B4CDB70A}"/>
  </cellStyles>
  <dxfs count="42"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AVIMENTA&#199;&#195;O%202025%20-%20400%20MIL/FINAL/Pavimenta&#231;&#227;o%202%20S&#227;o%20Jo&#227;o%20da%20Lagoa%20MG.xls" TargetMode="External"/><Relationship Id="rId2" Type="http://schemas.openxmlformats.org/officeDocument/2006/relationships/externalLinkPath" Target="file:///D:\PREFEITURA\PAVIMENTA&#199;&#195;O%202025%20-%20400%20MIL\FINAL\Pavimenta&#231;&#227;o%202%20S&#227;o%20Jo&#227;o%20da%20Lagoa%20MG.xls" TargetMode="External"/><Relationship Id="rId1" Type="http://schemas.openxmlformats.org/officeDocument/2006/relationships/externalLinkPath" Target="/PREFEITURA/PAVIMENTA&#199;&#195;O%202025%20-%20400%20MIL/FINAL/Pavimenta&#231;&#227;o%202%20S&#227;o%20Jo&#227;o%20da%20Lagoa%20M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  <row r="4">
          <cell r="O4">
            <v>1</v>
          </cell>
        </row>
      </sheetData>
      <sheetData sheetId="1">
        <row r="4">
          <cell r="F4" t="str">
            <v>(SELECIONAR)</v>
          </cell>
        </row>
        <row r="5">
          <cell r="F5" t="str">
            <v>Prefeitura Municipal de São João da Lagoa</v>
          </cell>
        </row>
        <row r="6">
          <cell r="F6" t="str">
            <v>São João da Lagoa  MG</v>
          </cell>
        </row>
        <row r="16">
          <cell r="F16" t="str">
            <v xml:space="preserve">EXECUÇÃO DE PAVIMENTAÇÃO EM BLOCO SEXTAVADO DE CONCRETO DE VIAS URBANAS E RURAIS NO MUNICÍPIO DE SÃO JOÃO DA LAGOA/MG </v>
          </cell>
        </row>
        <row r="17">
          <cell r="F17" t="str">
            <v xml:space="preserve">EXECUÇÃO DE PAVIMENTAÇÃO EM BLOCO SEXTAVADO DE CONCRETO DE VIAS URBANAS E RURAIS NO MUNICÍPIO DE SÃO JOÃO DA LAGOA/MG </v>
          </cell>
        </row>
        <row r="18">
          <cell r="F18" t="str">
            <v>DESONERADO</v>
          </cell>
        </row>
        <row r="22">
          <cell r="F22" t="str">
            <v>LEONARDO PETERSON AMARAL LIMA</v>
          </cell>
        </row>
        <row r="23">
          <cell r="F23" t="str">
            <v>331.073/D</v>
          </cell>
        </row>
        <row r="24">
          <cell r="F24" t="str">
            <v>MG20253837048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>
        <row r="7">
          <cell r="AF7" t="b">
            <v>1</v>
          </cell>
        </row>
      </sheetData>
      <sheetData sheetId="5">
        <row r="15">
          <cell r="M15">
            <v>1</v>
          </cell>
          <cell r="Q15">
            <v>104822.83</v>
          </cell>
        </row>
        <row r="16">
          <cell r="M16" t="str">
            <v/>
          </cell>
        </row>
        <row r="17">
          <cell r="M17" t="str">
            <v/>
          </cell>
        </row>
        <row r="18">
          <cell r="M18">
            <v>2</v>
          </cell>
        </row>
        <row r="19">
          <cell r="M19">
            <v>2</v>
          </cell>
        </row>
        <row r="20">
          <cell r="M20" t="str">
            <v/>
          </cell>
        </row>
        <row r="21">
          <cell r="M21">
            <v>3</v>
          </cell>
        </row>
        <row r="22">
          <cell r="M22" t="str">
            <v/>
          </cell>
        </row>
        <row r="23">
          <cell r="M23">
            <v>4</v>
          </cell>
        </row>
        <row r="24">
          <cell r="M24" t="str">
            <v/>
          </cell>
        </row>
        <row r="25">
          <cell r="M25">
            <v>5</v>
          </cell>
        </row>
        <row r="26">
          <cell r="M26">
            <v>5</v>
          </cell>
        </row>
      </sheetData>
      <sheetData sheetId="6">
        <row r="15">
          <cell r="B15" t="str">
            <v>1.Administração Local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0994-C249-443D-8B26-62C364C4E26F}">
  <dimension ref="A1:L51"/>
  <sheetViews>
    <sheetView workbookViewId="0">
      <selection activeCell="B9" sqref="B9:K9"/>
    </sheetView>
  </sheetViews>
  <sheetFormatPr defaultRowHeight="15" x14ac:dyDescent="0.25"/>
  <cols>
    <col min="1" max="1" width="2.7109375" customWidth="1"/>
    <col min="2" max="7" width="10.7109375" customWidth="1"/>
    <col min="8" max="8" width="12.85546875" customWidth="1"/>
    <col min="9" max="9" width="7.85546875" customWidth="1"/>
    <col min="10" max="11" width="10.7109375" customWidth="1"/>
    <col min="12" max="12" width="3.7109375" customWidth="1"/>
  </cols>
  <sheetData>
    <row r="1" spans="1:12" ht="4.5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5.75" x14ac:dyDescent="0.25">
      <c r="A2" s="23"/>
      <c r="B2" s="10"/>
      <c r="C2" s="10"/>
      <c r="D2" s="10"/>
      <c r="E2" s="10"/>
      <c r="F2" s="10"/>
      <c r="G2" s="18" t="str">
        <f>"Quadro de Composição do BDI"</f>
        <v>Quadro de Composição do BDI</v>
      </c>
      <c r="H2" s="10"/>
      <c r="I2" s="10"/>
      <c r="J2" s="197" t="s">
        <v>0</v>
      </c>
      <c r="K2" s="197"/>
      <c r="L2" s="20"/>
    </row>
    <row r="3" spans="1:12" x14ac:dyDescent="0.25">
      <c r="A3" s="23"/>
      <c r="B3" s="10"/>
      <c r="C3" s="10"/>
      <c r="D3" s="10"/>
      <c r="E3" s="10"/>
      <c r="F3" s="10"/>
      <c r="G3" s="10"/>
      <c r="H3" s="10"/>
      <c r="I3" s="10"/>
      <c r="J3" s="198" t="s">
        <v>1</v>
      </c>
      <c r="K3" s="198"/>
      <c r="L3" s="20"/>
    </row>
    <row r="4" spans="1:12" x14ac:dyDescent="0.25">
      <c r="A4" s="23"/>
      <c r="B4" s="10"/>
      <c r="C4" s="10"/>
      <c r="D4" s="10"/>
      <c r="E4" s="10"/>
      <c r="F4" s="10"/>
      <c r="G4" s="10"/>
      <c r="H4" s="10"/>
      <c r="I4" s="10"/>
      <c r="J4" s="10"/>
      <c r="K4" s="10"/>
      <c r="L4" s="20"/>
    </row>
    <row r="5" spans="1:12" x14ac:dyDescent="0.25">
      <c r="A5" s="23"/>
      <c r="B5" s="146" t="s">
        <v>2</v>
      </c>
      <c r="C5" s="147"/>
      <c r="D5" s="147"/>
      <c r="E5" s="147"/>
      <c r="F5" s="147"/>
      <c r="G5" s="147"/>
      <c r="H5" s="147"/>
      <c r="I5" s="147"/>
      <c r="J5" s="147"/>
      <c r="K5" s="151"/>
      <c r="L5" s="20"/>
    </row>
    <row r="6" spans="1:12" ht="15" customHeight="1" x14ac:dyDescent="0.25">
      <c r="A6" s="23"/>
      <c r="B6" s="149" t="s">
        <v>86</v>
      </c>
      <c r="C6" s="150"/>
      <c r="D6" s="150"/>
      <c r="E6" s="150"/>
      <c r="F6" s="150"/>
      <c r="G6" s="150"/>
      <c r="H6" s="150"/>
      <c r="I6" s="150"/>
      <c r="J6" s="150"/>
      <c r="K6" s="176"/>
      <c r="L6" s="20"/>
    </row>
    <row r="7" spans="1:12" x14ac:dyDescent="0.25">
      <c r="A7" s="23"/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x14ac:dyDescent="0.25">
      <c r="A8" s="23"/>
      <c r="B8" s="199" t="s">
        <v>42</v>
      </c>
      <c r="C8" s="199"/>
      <c r="D8" s="199"/>
      <c r="E8" s="199"/>
      <c r="F8" s="199"/>
      <c r="G8" s="199"/>
      <c r="H8" s="199"/>
      <c r="I8" s="199"/>
      <c r="J8" s="199"/>
      <c r="K8" s="199"/>
      <c r="L8" s="20"/>
    </row>
    <row r="9" spans="1:12" ht="27.75" customHeight="1" x14ac:dyDescent="0.25">
      <c r="A9" s="23"/>
      <c r="B9" s="200" t="str">
        <f>ORÇAMENTO!E5</f>
        <v>EXECUÇÃO DE OBRAS DE EXTENSÃO E MODERNIZAÇÃO DA REDE DE ILUINAÇÃO PÚBLICA EM NOVOS TRECHOS DE VIAS URBANAS NA SEDE DO MUNÍCIPIO DE SÃO JOÃO DA LAGOA - MG E DISTRITO DE SÃO ROBERTO DE MINAS</v>
      </c>
      <c r="C9" s="200"/>
      <c r="D9" s="200"/>
      <c r="E9" s="200"/>
      <c r="F9" s="200"/>
      <c r="G9" s="200"/>
      <c r="H9" s="200"/>
      <c r="I9" s="200"/>
      <c r="J9" s="200"/>
      <c r="K9" s="200"/>
      <c r="L9" s="20"/>
    </row>
    <row r="10" spans="1:12" x14ac:dyDescent="0.25">
      <c r="A10" s="2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1:12" x14ac:dyDescent="0.25">
      <c r="A11" s="23"/>
      <c r="B11" s="201" t="s">
        <v>3</v>
      </c>
      <c r="C11" s="201"/>
      <c r="D11" s="201"/>
      <c r="E11" s="201"/>
      <c r="F11" s="201"/>
      <c r="G11" s="201"/>
      <c r="H11" s="201"/>
      <c r="I11" s="201"/>
      <c r="J11" s="191">
        <v>1</v>
      </c>
      <c r="K11" s="191"/>
      <c r="L11" s="20"/>
    </row>
    <row r="12" spans="1:12" x14ac:dyDescent="0.25">
      <c r="A12" s="23"/>
      <c r="B12" s="190" t="s">
        <v>4</v>
      </c>
      <c r="C12" s="190"/>
      <c r="D12" s="190"/>
      <c r="E12" s="190"/>
      <c r="F12" s="190"/>
      <c r="G12" s="190"/>
      <c r="H12" s="190"/>
      <c r="I12" s="190"/>
      <c r="J12" s="191">
        <v>0.05</v>
      </c>
      <c r="K12" s="191"/>
      <c r="L12" s="20"/>
    </row>
    <row r="13" spans="1:12" x14ac:dyDescent="0.25">
      <c r="A13" s="2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0"/>
    </row>
    <row r="14" spans="1:12" ht="15.75" x14ac:dyDescent="0.25">
      <c r="A14" s="23"/>
      <c r="B14" s="192" t="s">
        <v>5</v>
      </c>
      <c r="C14" s="192"/>
      <c r="D14" s="192"/>
      <c r="E14" s="192"/>
      <c r="F14" s="192"/>
      <c r="G14" s="192"/>
      <c r="H14" s="192"/>
      <c r="I14" s="192"/>
      <c r="J14" s="192"/>
      <c r="K14" s="192"/>
      <c r="L14" s="20"/>
    </row>
    <row r="15" spans="1:12" x14ac:dyDescent="0.25">
      <c r="A15" s="2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0"/>
    </row>
    <row r="16" spans="1:12" x14ac:dyDescent="0.25">
      <c r="A16" s="23"/>
      <c r="B16" s="193" t="s">
        <v>6</v>
      </c>
      <c r="C16" s="193"/>
      <c r="D16" s="193"/>
      <c r="E16" s="193"/>
      <c r="F16" s="193"/>
      <c r="G16" s="193"/>
      <c r="H16" s="193"/>
      <c r="I16" s="193"/>
      <c r="J16" s="193"/>
      <c r="K16" s="193"/>
      <c r="L16" s="20"/>
    </row>
    <row r="17" spans="1:12" x14ac:dyDescent="0.25">
      <c r="A17" s="23"/>
      <c r="B17" s="194" t="s">
        <v>140</v>
      </c>
      <c r="C17" s="194"/>
      <c r="D17" s="194"/>
      <c r="E17" s="194"/>
      <c r="F17" s="194"/>
      <c r="G17" s="194"/>
      <c r="H17" s="194"/>
      <c r="I17" s="194"/>
      <c r="J17" s="194"/>
      <c r="K17" s="194"/>
      <c r="L17" s="20"/>
    </row>
    <row r="18" spans="1:12" x14ac:dyDescent="0.25">
      <c r="A18" s="23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20"/>
    </row>
    <row r="19" spans="1:12" x14ac:dyDescent="0.25">
      <c r="A19" s="23"/>
      <c r="B19" s="195" t="s">
        <v>7</v>
      </c>
      <c r="C19" s="195"/>
      <c r="D19" s="195"/>
      <c r="E19" s="195"/>
      <c r="F19" s="195"/>
      <c r="G19" s="195"/>
      <c r="H19" s="195"/>
      <c r="I19" s="195"/>
      <c r="J19" s="195" t="s">
        <v>8</v>
      </c>
      <c r="K19" s="196" t="s">
        <v>9</v>
      </c>
      <c r="L19" s="20"/>
    </row>
    <row r="20" spans="1:12" x14ac:dyDescent="0.25">
      <c r="A20" s="23"/>
      <c r="B20" s="195"/>
      <c r="C20" s="195"/>
      <c r="D20" s="195"/>
      <c r="E20" s="195"/>
      <c r="F20" s="195"/>
      <c r="G20" s="195"/>
      <c r="H20" s="195"/>
      <c r="I20" s="195"/>
      <c r="J20" s="195"/>
      <c r="K20" s="196"/>
      <c r="L20" s="20"/>
    </row>
    <row r="21" spans="1:12" ht="15" customHeight="1" x14ac:dyDescent="0.25">
      <c r="A21" s="23"/>
      <c r="B21" s="187" t="s">
        <v>31</v>
      </c>
      <c r="C21" s="187"/>
      <c r="D21" s="187"/>
      <c r="E21" s="187"/>
      <c r="F21" s="187"/>
      <c r="G21" s="187"/>
      <c r="H21" s="187"/>
      <c r="I21" s="187"/>
      <c r="J21" s="1" t="s">
        <v>32</v>
      </c>
      <c r="K21" s="2">
        <v>5.2900000000000003E-2</v>
      </c>
      <c r="L21" s="20"/>
    </row>
    <row r="22" spans="1:12" ht="15" customHeight="1" x14ac:dyDescent="0.25">
      <c r="A22" s="23"/>
      <c r="B22" s="187" t="s">
        <v>33</v>
      </c>
      <c r="C22" s="187"/>
      <c r="D22" s="187"/>
      <c r="E22" s="187"/>
      <c r="F22" s="187"/>
      <c r="G22" s="187"/>
      <c r="H22" s="187"/>
      <c r="I22" s="187"/>
      <c r="J22" s="1" t="s">
        <v>34</v>
      </c>
      <c r="K22" s="2">
        <v>2.5000000000000001E-3</v>
      </c>
      <c r="L22" s="20"/>
    </row>
    <row r="23" spans="1:12" x14ac:dyDescent="0.25">
      <c r="A23" s="23"/>
      <c r="B23" s="187" t="s">
        <v>35</v>
      </c>
      <c r="C23" s="187"/>
      <c r="D23" s="187"/>
      <c r="E23" s="187"/>
      <c r="F23" s="187"/>
      <c r="G23" s="187"/>
      <c r="H23" s="187"/>
      <c r="I23" s="187"/>
      <c r="J23" s="1" t="s">
        <v>36</v>
      </c>
      <c r="K23" s="2">
        <v>0.01</v>
      </c>
      <c r="L23" s="20"/>
    </row>
    <row r="24" spans="1:12" x14ac:dyDescent="0.25">
      <c r="A24" s="23"/>
      <c r="B24" s="187" t="s">
        <v>37</v>
      </c>
      <c r="C24" s="187"/>
      <c r="D24" s="187"/>
      <c r="E24" s="187"/>
      <c r="F24" s="187"/>
      <c r="G24" s="187"/>
      <c r="H24" s="187"/>
      <c r="I24" s="187"/>
      <c r="J24" s="1" t="s">
        <v>38</v>
      </c>
      <c r="K24" s="2">
        <v>1.01E-2</v>
      </c>
      <c r="L24" s="20"/>
    </row>
    <row r="25" spans="1:12" ht="15" customHeight="1" x14ac:dyDescent="0.25">
      <c r="A25" s="23"/>
      <c r="B25" s="187" t="s">
        <v>39</v>
      </c>
      <c r="C25" s="187"/>
      <c r="D25" s="187"/>
      <c r="E25" s="187"/>
      <c r="F25" s="187"/>
      <c r="G25" s="187"/>
      <c r="H25" s="187"/>
      <c r="I25" s="187"/>
      <c r="J25" s="1" t="s">
        <v>40</v>
      </c>
      <c r="K25" s="2">
        <v>0.08</v>
      </c>
      <c r="L25" s="20"/>
    </row>
    <row r="26" spans="1:12" ht="15" customHeight="1" x14ac:dyDescent="0.25">
      <c r="A26" s="23"/>
      <c r="B26" s="187" t="s">
        <v>10</v>
      </c>
      <c r="C26" s="187"/>
      <c r="D26" s="187"/>
      <c r="E26" s="187"/>
      <c r="F26" s="187"/>
      <c r="G26" s="187"/>
      <c r="H26" s="187"/>
      <c r="I26" s="187"/>
      <c r="J26" s="1" t="s">
        <v>11</v>
      </c>
      <c r="K26" s="2">
        <v>3.6499999999999998E-2</v>
      </c>
      <c r="L26" s="20"/>
    </row>
    <row r="27" spans="1:12" ht="15" customHeight="1" x14ac:dyDescent="0.25">
      <c r="A27" s="23"/>
      <c r="B27" s="187" t="s">
        <v>12</v>
      </c>
      <c r="C27" s="187"/>
      <c r="D27" s="187"/>
      <c r="E27" s="187"/>
      <c r="F27" s="187"/>
      <c r="G27" s="187"/>
      <c r="H27" s="187"/>
      <c r="I27" s="187"/>
      <c r="J27" s="1" t="s">
        <v>13</v>
      </c>
      <c r="K27" s="3">
        <v>0.05</v>
      </c>
      <c r="L27" s="20"/>
    </row>
    <row r="28" spans="1:12" ht="15" customHeight="1" x14ac:dyDescent="0.25">
      <c r="A28" s="23"/>
      <c r="B28" s="187" t="s">
        <v>14</v>
      </c>
      <c r="C28" s="187"/>
      <c r="D28" s="187"/>
      <c r="E28" s="187"/>
      <c r="F28" s="187"/>
      <c r="G28" s="187"/>
      <c r="H28" s="187"/>
      <c r="I28" s="187"/>
      <c r="J28" s="1" t="s">
        <v>15</v>
      </c>
      <c r="K28" s="3">
        <v>3.6000000000000004E-2</v>
      </c>
      <c r="L28" s="20"/>
    </row>
    <row r="29" spans="1:12" ht="15" customHeight="1" x14ac:dyDescent="0.25">
      <c r="A29" s="23"/>
      <c r="B29" s="187" t="s">
        <v>16</v>
      </c>
      <c r="C29" s="187"/>
      <c r="D29" s="187"/>
      <c r="E29" s="187"/>
      <c r="F29" s="187"/>
      <c r="G29" s="187"/>
      <c r="H29" s="187"/>
      <c r="I29" s="187"/>
      <c r="J29" s="4" t="s">
        <v>17</v>
      </c>
      <c r="K29" s="3">
        <v>0.27229999999999999</v>
      </c>
      <c r="L29" s="20"/>
    </row>
    <row r="30" spans="1:12" ht="15" customHeight="1" x14ac:dyDescent="0.25">
      <c r="A30" s="23"/>
      <c r="B30" s="188" t="s">
        <v>18</v>
      </c>
      <c r="C30" s="188"/>
      <c r="D30" s="188"/>
      <c r="E30" s="188"/>
      <c r="F30" s="188"/>
      <c r="G30" s="188"/>
      <c r="H30" s="188"/>
      <c r="I30" s="188"/>
      <c r="J30" s="5" t="s">
        <v>19</v>
      </c>
      <c r="K30" s="6">
        <v>0.32450000000000001</v>
      </c>
      <c r="L30" s="20"/>
    </row>
    <row r="31" spans="1:12" x14ac:dyDescent="0.25">
      <c r="A31" s="23"/>
      <c r="B31" s="189" t="s">
        <v>20</v>
      </c>
      <c r="C31" s="189"/>
      <c r="D31" s="189"/>
      <c r="E31" s="189"/>
      <c r="F31" s="189"/>
      <c r="G31" s="189"/>
      <c r="H31" s="189"/>
      <c r="I31" s="189"/>
      <c r="J31" s="189"/>
      <c r="K31" s="189"/>
      <c r="L31" s="20"/>
    </row>
    <row r="32" spans="1:12" ht="15.75" x14ac:dyDescent="0.25">
      <c r="A32" s="23"/>
      <c r="B32" s="8"/>
      <c r="C32" s="8"/>
      <c r="D32" s="8"/>
      <c r="E32" s="182" t="s">
        <v>21</v>
      </c>
      <c r="F32" s="183" t="s">
        <v>41</v>
      </c>
      <c r="G32" s="183"/>
      <c r="H32" s="183"/>
      <c r="I32" s="184" t="s">
        <v>22</v>
      </c>
      <c r="J32" s="8"/>
      <c r="K32" s="8"/>
      <c r="L32" s="20"/>
    </row>
    <row r="33" spans="1:12" ht="15.75" x14ac:dyDescent="0.25">
      <c r="A33" s="23"/>
      <c r="B33" s="8"/>
      <c r="C33" s="8"/>
      <c r="D33" s="8"/>
      <c r="E33" s="182"/>
      <c r="F33" s="185" t="s">
        <v>23</v>
      </c>
      <c r="G33" s="185"/>
      <c r="H33" s="185"/>
      <c r="I33" s="184"/>
      <c r="J33" s="8"/>
      <c r="K33" s="8"/>
      <c r="L33" s="20"/>
    </row>
    <row r="34" spans="1:12" x14ac:dyDescent="0.25">
      <c r="A34" s="23"/>
      <c r="B34" s="9"/>
      <c r="C34" s="9"/>
      <c r="D34" s="9"/>
      <c r="E34" s="9"/>
      <c r="F34" s="9"/>
      <c r="G34" s="9"/>
      <c r="H34" s="9"/>
      <c r="I34" s="9"/>
      <c r="J34" s="9"/>
      <c r="K34" s="9"/>
      <c r="L34" s="20"/>
    </row>
    <row r="35" spans="1:12" ht="30.75" customHeight="1" x14ac:dyDescent="0.25">
      <c r="A35" s="23"/>
      <c r="B35" s="186" t="s">
        <v>43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0"/>
    </row>
    <row r="36" spans="1:12" x14ac:dyDescent="0.25">
      <c r="A36" s="2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20"/>
    </row>
    <row r="37" spans="1:12" ht="32.25" customHeight="1" x14ac:dyDescent="0.25">
      <c r="A37" s="23"/>
      <c r="B37" s="186" t="s">
        <v>82</v>
      </c>
      <c r="C37" s="186"/>
      <c r="D37" s="186"/>
      <c r="E37" s="186"/>
      <c r="F37" s="186"/>
      <c r="G37" s="186"/>
      <c r="H37" s="186"/>
      <c r="I37" s="186"/>
      <c r="J37" s="186"/>
      <c r="K37" s="186"/>
      <c r="L37" s="20"/>
    </row>
    <row r="38" spans="1:12" x14ac:dyDescent="0.25">
      <c r="A38" s="23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20"/>
    </row>
    <row r="39" spans="1:12" x14ac:dyDescent="0.25">
      <c r="A39" s="23"/>
      <c r="B39" s="10" t="s">
        <v>24</v>
      </c>
      <c r="C39" s="10"/>
      <c r="D39" s="10"/>
      <c r="E39" s="10"/>
      <c r="F39" s="10"/>
      <c r="G39" s="10"/>
      <c r="H39" s="10"/>
      <c r="I39" s="10"/>
      <c r="J39" s="10"/>
      <c r="K39" s="10"/>
      <c r="L39" s="20"/>
    </row>
    <row r="40" spans="1:12" x14ac:dyDescent="0.25">
      <c r="A40" s="23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20"/>
    </row>
    <row r="41" spans="1:12" x14ac:dyDescent="0.25">
      <c r="A41" s="23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0"/>
    </row>
    <row r="42" spans="1:12" x14ac:dyDescent="0.25">
      <c r="A42" s="23"/>
      <c r="B42" s="178" t="s">
        <v>159</v>
      </c>
      <c r="C42" s="178"/>
      <c r="D42" s="178"/>
      <c r="E42" s="178"/>
      <c r="F42" s="10"/>
      <c r="G42" s="10"/>
      <c r="H42" s="166" t="s">
        <v>158</v>
      </c>
      <c r="I42" s="166"/>
      <c r="J42" s="166"/>
      <c r="K42" s="166"/>
      <c r="L42" s="20"/>
    </row>
    <row r="43" spans="1:12" x14ac:dyDescent="0.25">
      <c r="A43" s="23"/>
      <c r="B43" s="179" t="s">
        <v>25</v>
      </c>
      <c r="C43" s="179"/>
      <c r="D43" s="179"/>
      <c r="E43" s="179"/>
      <c r="F43" s="10"/>
      <c r="G43" s="11"/>
      <c r="H43" s="12" t="s">
        <v>26</v>
      </c>
      <c r="I43" s="13"/>
      <c r="J43" s="13"/>
      <c r="K43" s="13"/>
      <c r="L43" s="20"/>
    </row>
    <row r="44" spans="1:12" x14ac:dyDescent="0.25">
      <c r="A44" s="2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20"/>
    </row>
    <row r="45" spans="1:12" x14ac:dyDescent="0.25">
      <c r="A45" s="2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20"/>
    </row>
    <row r="46" spans="1:12" ht="21" customHeight="1" x14ac:dyDescent="0.25">
      <c r="A46" s="23"/>
      <c r="B46" s="180"/>
      <c r="C46" s="180"/>
      <c r="D46" s="180"/>
      <c r="E46" s="180"/>
      <c r="F46" s="14"/>
      <c r="G46" s="10"/>
      <c r="H46" s="10"/>
      <c r="I46" s="10"/>
      <c r="J46" s="10"/>
      <c r="K46" s="10"/>
      <c r="L46" s="20"/>
    </row>
    <row r="47" spans="1:12" x14ac:dyDescent="0.25">
      <c r="A47" s="23"/>
      <c r="B47" s="181" t="s">
        <v>27</v>
      </c>
      <c r="C47" s="181"/>
      <c r="D47" s="181"/>
      <c r="E47" s="181"/>
      <c r="F47" s="10"/>
      <c r="G47" s="10"/>
      <c r="H47" s="10"/>
      <c r="I47" s="10"/>
      <c r="J47" s="10"/>
      <c r="K47" s="10"/>
      <c r="L47" s="20"/>
    </row>
    <row r="48" spans="1:12" x14ac:dyDescent="0.25">
      <c r="A48" s="23"/>
      <c r="B48" s="15" t="s">
        <v>28</v>
      </c>
      <c r="C48" s="173" t="s">
        <v>155</v>
      </c>
      <c r="D48" s="173"/>
      <c r="E48" s="173"/>
      <c r="F48" s="14"/>
      <c r="G48" s="10"/>
      <c r="H48" s="10"/>
      <c r="I48" s="10"/>
      <c r="J48" s="10"/>
      <c r="K48" s="10"/>
      <c r="L48" s="20"/>
    </row>
    <row r="49" spans="1:12" x14ac:dyDescent="0.25">
      <c r="A49" s="23"/>
      <c r="B49" s="15" t="s">
        <v>29</v>
      </c>
      <c r="C49" s="174" t="s">
        <v>156</v>
      </c>
      <c r="D49" s="175"/>
      <c r="E49" s="175"/>
      <c r="F49" s="14"/>
      <c r="G49" s="10"/>
      <c r="H49" s="10"/>
      <c r="I49" s="10"/>
      <c r="J49" s="10"/>
      <c r="K49" s="10"/>
      <c r="L49" s="20"/>
    </row>
    <row r="50" spans="1:12" x14ac:dyDescent="0.25">
      <c r="A50" s="23"/>
      <c r="B50" s="15" t="s">
        <v>30</v>
      </c>
      <c r="C50" s="175" t="s">
        <v>157</v>
      </c>
      <c r="D50" s="175"/>
      <c r="E50" s="175"/>
      <c r="F50" s="14"/>
      <c r="G50" s="10"/>
      <c r="H50" s="10"/>
      <c r="I50" s="10"/>
      <c r="J50" s="10"/>
      <c r="K50" s="10"/>
      <c r="L50" s="20"/>
    </row>
    <row r="51" spans="1:12" x14ac:dyDescent="0.25">
      <c r="A51" s="24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2"/>
    </row>
  </sheetData>
  <mergeCells count="42">
    <mergeCell ref="J2:K2"/>
    <mergeCell ref="J3:K3"/>
    <mergeCell ref="B8:K8"/>
    <mergeCell ref="B9:K9"/>
    <mergeCell ref="B11:I11"/>
    <mergeCell ref="J11:K11"/>
    <mergeCell ref="B12:I12"/>
    <mergeCell ref="J12:K12"/>
    <mergeCell ref="B26:I26"/>
    <mergeCell ref="B14:K14"/>
    <mergeCell ref="B16:K16"/>
    <mergeCell ref="B17:K17"/>
    <mergeCell ref="B19:I20"/>
    <mergeCell ref="J19:J20"/>
    <mergeCell ref="K19:K20"/>
    <mergeCell ref="B21:I21"/>
    <mergeCell ref="B22:I22"/>
    <mergeCell ref="B23:I23"/>
    <mergeCell ref="B24:I24"/>
    <mergeCell ref="B25:I25"/>
    <mergeCell ref="B37:K37"/>
    <mergeCell ref="B27:I27"/>
    <mergeCell ref="B28:I28"/>
    <mergeCell ref="B29:I29"/>
    <mergeCell ref="B30:I30"/>
    <mergeCell ref="B31:K31"/>
    <mergeCell ref="C48:E48"/>
    <mergeCell ref="C49:E49"/>
    <mergeCell ref="C50:E50"/>
    <mergeCell ref="B5:K5"/>
    <mergeCell ref="B6:K6"/>
    <mergeCell ref="B40:K40"/>
    <mergeCell ref="B42:E42"/>
    <mergeCell ref="H42:K42"/>
    <mergeCell ref="B43:E43"/>
    <mergeCell ref="B46:E46"/>
    <mergeCell ref="B47:E47"/>
    <mergeCell ref="E32:E33"/>
    <mergeCell ref="F32:H32"/>
    <mergeCell ref="I32:I33"/>
    <mergeCell ref="F33:H33"/>
    <mergeCell ref="B35:K35"/>
  </mergeCells>
  <conditionalFormatting sqref="B30:K30">
    <cfRule type="expression" dxfId="41" priority="2" stopIfTrue="1">
      <formula>DESONERACAO="não"</formula>
    </cfRule>
  </conditionalFormatting>
  <conditionalFormatting sqref="K29">
    <cfRule type="expression" dxfId="40" priority="1" stopIfTrue="1">
      <formula>DESONERACAO="não"</formula>
    </cfRule>
  </conditionalFormatting>
  <dataValidations count="6">
    <dataValidation type="list" allowBlank="1" showErrorMessage="1" sqref="B17:K17" xr:uid="{0DE7769E-55A6-4F7F-98EF-0838690F1A7B}">
      <formula1>BDI.TipoObra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J11:K11" xr:uid="{1971DE07-6DAA-41FB-93C4-031D31A52B60}">
      <formula1>0</formula1>
      <formula2>1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J12:K12" xr:uid="{770DE75F-DA5C-4C7D-8085-3F05D32ACB86}">
      <formula1>0</formula1>
      <formula2>0</formula2>
    </dataValidation>
    <dataValidation operator="greaterThanOrEqual" allowBlank="1" showErrorMessage="1" errorTitle="Erro de valores" error="Digite um valor igual a 0% ou 2%." sqref="K28" xr:uid="{CDEB9946-DE9B-4895-8D22-ECFC7145FCA6}">
      <formula1>0</formula1>
      <formula2>0</formula2>
    </dataValidation>
    <dataValidation type="decimal" allowBlank="1" showErrorMessage="1" errorTitle="Erro de valores" error="Digite um valor maior do que 0." sqref="K27" xr:uid="{253E30E0-B3F9-4359-A95D-BB5CA3FE0BB2}">
      <formula1>0</formula1>
      <formula2>1</formula2>
    </dataValidation>
    <dataValidation type="decimal" allowBlank="1" showErrorMessage="1" errorTitle="Erro de valores" error="Digite um valor entre 0% e 100%" sqref="K21:K26" xr:uid="{86CEB622-BF37-4A3E-805F-06AB88A38465}">
      <formula1>0</formula1>
      <formula2>1</formula2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C99E-EF6E-4914-B784-257BDBE626D4}">
  <dimension ref="A1:M45"/>
  <sheetViews>
    <sheetView tabSelected="1" zoomScaleNormal="100" workbookViewId="0">
      <selection activeCell="J13" sqref="J13"/>
    </sheetView>
  </sheetViews>
  <sheetFormatPr defaultRowHeight="15" x14ac:dyDescent="0.25"/>
  <cols>
    <col min="1" max="1" width="0.85546875" customWidth="1"/>
    <col min="2" max="2" width="10.42578125" customWidth="1"/>
    <col min="3" max="4" width="15.7109375" customWidth="1"/>
    <col min="5" max="5" width="72.5703125" customWidth="1"/>
    <col min="6" max="6" width="10.7109375" customWidth="1"/>
    <col min="7" max="9" width="14.7109375" customWidth="1"/>
    <col min="10" max="10" width="18" customWidth="1"/>
    <col min="11" max="11" width="1.28515625" customWidth="1"/>
    <col min="13" max="13" width="11.5703125" bestFit="1" customWidth="1"/>
  </cols>
  <sheetData>
    <row r="1" spans="1:13" ht="4.5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3" ht="15.75" x14ac:dyDescent="0.25">
      <c r="A2" s="23"/>
      <c r="B2" s="141" t="s">
        <v>44</v>
      </c>
      <c r="C2" s="141"/>
      <c r="D2" s="141"/>
      <c r="E2" s="141"/>
      <c r="F2" s="141"/>
      <c r="G2" s="141"/>
      <c r="H2" s="141"/>
      <c r="I2" s="141"/>
      <c r="J2" s="141"/>
      <c r="K2" s="20"/>
    </row>
    <row r="3" spans="1:13" x14ac:dyDescent="0.25">
      <c r="A3" s="23"/>
      <c r="B3" s="110"/>
      <c r="C3" s="110"/>
      <c r="D3" s="110"/>
      <c r="E3" s="110"/>
      <c r="F3" s="110"/>
      <c r="G3" s="110"/>
      <c r="H3" s="110"/>
      <c r="I3" s="110"/>
      <c r="J3" s="114"/>
      <c r="K3" s="20"/>
    </row>
    <row r="4" spans="1:13" x14ac:dyDescent="0.25">
      <c r="A4" s="23"/>
      <c r="B4" s="146" t="s">
        <v>2</v>
      </c>
      <c r="C4" s="147"/>
      <c r="D4" s="148"/>
      <c r="E4" s="147" t="s">
        <v>42</v>
      </c>
      <c r="F4" s="147"/>
      <c r="G4" s="147"/>
      <c r="H4" s="147"/>
      <c r="I4" s="147"/>
      <c r="J4" s="151"/>
      <c r="K4" s="20"/>
    </row>
    <row r="5" spans="1:13" ht="31.5" customHeight="1" x14ac:dyDescent="0.25">
      <c r="A5" s="23"/>
      <c r="B5" s="149" t="str">
        <f>BDI!B6</f>
        <v>PREFEITURA MUNICIPAL DE SÃO JOÃO DA LAGOA</v>
      </c>
      <c r="C5" s="150"/>
      <c r="D5" s="150"/>
      <c r="E5" s="152" t="s">
        <v>139</v>
      </c>
      <c r="F5" s="153"/>
      <c r="G5" s="153"/>
      <c r="H5" s="153"/>
      <c r="I5" s="153"/>
      <c r="J5" s="154"/>
      <c r="K5" s="20"/>
    </row>
    <row r="6" spans="1:13" x14ac:dyDescent="0.25">
      <c r="A6" s="23"/>
      <c r="B6" s="61"/>
      <c r="C6" s="61"/>
      <c r="D6" s="62"/>
      <c r="E6" s="62"/>
      <c r="F6" s="61"/>
      <c r="G6" s="61"/>
      <c r="H6" s="61"/>
      <c r="I6" s="61"/>
      <c r="J6" s="61"/>
      <c r="K6" s="20"/>
    </row>
    <row r="7" spans="1:13" ht="18" customHeight="1" x14ac:dyDescent="0.25">
      <c r="A7" s="23"/>
      <c r="B7" s="142" t="s">
        <v>132</v>
      </c>
      <c r="C7" s="143"/>
      <c r="D7" s="63" t="s">
        <v>45</v>
      </c>
      <c r="E7" s="158" t="s">
        <v>42</v>
      </c>
      <c r="F7" s="159"/>
      <c r="G7" s="160"/>
      <c r="H7" s="142" t="s">
        <v>61</v>
      </c>
      <c r="I7" s="143"/>
      <c r="J7" s="64" t="s">
        <v>141</v>
      </c>
      <c r="K7" s="20"/>
    </row>
    <row r="8" spans="1:13" ht="31.5" customHeight="1" x14ac:dyDescent="0.25">
      <c r="A8" s="23"/>
      <c r="B8" s="144" t="s">
        <v>161</v>
      </c>
      <c r="C8" s="145"/>
      <c r="D8" s="124" t="s">
        <v>160</v>
      </c>
      <c r="E8" s="155" t="str">
        <f>E5</f>
        <v>EXECUÇÃO DE OBRAS DE EXTENSÃO E MODERNIZAÇÃO DA REDE DE ILUINAÇÃO PÚBLICA EM NOVOS TRECHOS DE VIAS URBANAS NA SEDE DO MUNÍCIPIO DE SÃO JOÃO DA LAGOA - MG E DISTRITO DE SÃO ROBERTO DE MINAS</v>
      </c>
      <c r="F8" s="156"/>
      <c r="G8" s="157"/>
      <c r="H8" s="144" t="s">
        <v>60</v>
      </c>
      <c r="I8" s="145"/>
      <c r="J8" s="125">
        <f>BDI!K30</f>
        <v>0.32450000000000001</v>
      </c>
      <c r="K8" s="20"/>
    </row>
    <row r="9" spans="1:13" x14ac:dyDescent="0.25">
      <c r="A9" s="23"/>
      <c r="B9" s="167"/>
      <c r="C9" s="168"/>
      <c r="D9" s="168"/>
      <c r="E9" s="168"/>
      <c r="F9" s="168"/>
      <c r="G9" s="168"/>
      <c r="H9" s="168"/>
      <c r="I9" s="168"/>
      <c r="J9" s="169"/>
      <c r="K9" s="20"/>
    </row>
    <row r="10" spans="1:13" ht="25.5" x14ac:dyDescent="0.25">
      <c r="A10" s="23"/>
      <c r="B10" s="31" t="s">
        <v>47</v>
      </c>
      <c r="C10" s="31" t="s">
        <v>48</v>
      </c>
      <c r="D10" s="31" t="s">
        <v>49</v>
      </c>
      <c r="E10" s="31" t="s">
        <v>50</v>
      </c>
      <c r="F10" s="32" t="s">
        <v>51</v>
      </c>
      <c r="G10" s="31" t="s">
        <v>52</v>
      </c>
      <c r="H10" s="31" t="str">
        <f>IF(TIPOORCAMENTO="Licitado","","Custo Unitário (sem BDI) (R$)")</f>
        <v>Custo Unitário (sem BDI) (R$)</v>
      </c>
      <c r="I10" s="31" t="s">
        <v>53</v>
      </c>
      <c r="J10" s="31" t="s">
        <v>54</v>
      </c>
      <c r="K10" s="20"/>
    </row>
    <row r="11" spans="1:13" ht="26.25" customHeight="1" x14ac:dyDescent="0.25">
      <c r="A11" s="23"/>
      <c r="B11" s="170" t="str">
        <f>E5</f>
        <v>EXECUÇÃO DE OBRAS DE EXTENSÃO E MODERNIZAÇÃO DA REDE DE ILUINAÇÃO PÚBLICA EM NOVOS TRECHOS DE VIAS URBANAS NA SEDE DO MUNÍCIPIO DE SÃO JOÃO DA LAGOA - MG E DISTRITO DE SÃO ROBERTO DE MINAS</v>
      </c>
      <c r="C11" s="170"/>
      <c r="D11" s="170"/>
      <c r="E11" s="170"/>
      <c r="F11" s="132" t="s">
        <v>151</v>
      </c>
      <c r="G11" s="132" t="s">
        <v>151</v>
      </c>
      <c r="H11" s="132" t="s">
        <v>151</v>
      </c>
      <c r="I11" s="132" t="s">
        <v>151</v>
      </c>
      <c r="J11" s="33">
        <f>J12</f>
        <v>542973.54</v>
      </c>
      <c r="K11" s="20"/>
      <c r="M11" s="126"/>
    </row>
    <row r="12" spans="1:13" x14ac:dyDescent="0.25">
      <c r="A12" s="23"/>
      <c r="B12" s="34" t="str">
        <f ca="1">IF(OR($B12=0,$J12=""),"-",CONCATENATE(#REF!&amp;".",IF(AND(#REF!&gt;=2,$B12&gt;=2),#REF!&amp;".",""),IF(AND(#REF!&gt;=3,$B12&gt;=3),#REF!&amp;".",""),IF(AND(#REF!&gt;=4,$B12&gt;=4),#REF!&amp;".",""),IF($B12="S",#REF!&amp;".","")))</f>
        <v>1.</v>
      </c>
      <c r="C12" s="35"/>
      <c r="D12" s="36"/>
      <c r="E12" s="37" t="s">
        <v>131</v>
      </c>
      <c r="F12" s="38" t="s">
        <v>151</v>
      </c>
      <c r="G12" s="38" t="s">
        <v>151</v>
      </c>
      <c r="H12" s="38" t="s">
        <v>151</v>
      </c>
      <c r="I12" s="38" t="s">
        <v>151</v>
      </c>
      <c r="J12" s="39">
        <f>J13+J15</f>
        <v>542973.54</v>
      </c>
      <c r="K12" s="20"/>
    </row>
    <row r="13" spans="1:13" ht="21.75" customHeight="1" x14ac:dyDescent="0.25">
      <c r="A13" s="23"/>
      <c r="B13" s="40" t="str">
        <f ca="1">IF(OR($B13=0,$J13=""),"-",CONCATENATE(#REF!&amp;".",IF(AND(#REF!&gt;=2,$B13&gt;=2),#REF!&amp;".",""),IF(AND(#REF!&gt;=3,$B13&gt;=3),#REF!&amp;".",""),IF(AND(#REF!&gt;=4,$B13&gt;=4),#REF!&amp;".",""),IF($B13="S",#REF!&amp;".","")))</f>
        <v>1.1.</v>
      </c>
      <c r="C13" s="41"/>
      <c r="D13" s="42"/>
      <c r="E13" s="85" t="s">
        <v>142</v>
      </c>
      <c r="F13" s="44" t="s">
        <v>151</v>
      </c>
      <c r="G13" s="44" t="s">
        <v>151</v>
      </c>
      <c r="H13" s="44" t="s">
        <v>151</v>
      </c>
      <c r="I13" s="44" t="s">
        <v>151</v>
      </c>
      <c r="J13" s="46">
        <f>SUM(J14:J14)</f>
        <v>1588.58</v>
      </c>
      <c r="K13" s="20"/>
    </row>
    <row r="14" spans="1:13" ht="75" x14ac:dyDescent="0.25">
      <c r="A14" s="23"/>
      <c r="B14" s="47" t="str">
        <f ca="1">IF(OR($B14=0,$J14=""),"-",CONCATENATE(#REF!&amp;".",IF(AND(#REF!&gt;=2,$B14&gt;=2),#REF!&amp;".",""),IF(AND(#REF!&gt;=3,$B14&gt;=3),#REF!&amp;".",""),IF(AND(#REF!&gt;=4,$B14&gt;=4),#REF!&amp;".",""),IF($B14="S",#REF!&amp;".","")))</f>
        <v>1.1.1.</v>
      </c>
      <c r="C14" s="48" t="s">
        <v>58</v>
      </c>
      <c r="D14" s="49" t="s">
        <v>59</v>
      </c>
      <c r="E14" s="111" t="s">
        <v>67</v>
      </c>
      <c r="F14" s="50" t="s">
        <v>80</v>
      </c>
      <c r="G14" s="51">
        <f>'MEMÓRIA DE CÁLCULO'!F13</f>
        <v>1</v>
      </c>
      <c r="H14" s="52">
        <v>1187.0999999999999</v>
      </c>
      <c r="I14" s="51">
        <f>ROUND(H14*1.3382,2)</f>
        <v>1588.58</v>
      </c>
      <c r="J14" s="53">
        <f>ROUND(G14*I14,2)</f>
        <v>1588.58</v>
      </c>
      <c r="K14" s="20"/>
    </row>
    <row r="15" spans="1:13" x14ac:dyDescent="0.25">
      <c r="A15" s="23"/>
      <c r="B15" s="40" t="s">
        <v>85</v>
      </c>
      <c r="C15" s="41"/>
      <c r="D15" s="42"/>
      <c r="E15" s="43" t="s">
        <v>152</v>
      </c>
      <c r="F15" s="44" t="s">
        <v>151</v>
      </c>
      <c r="G15" s="44" t="s">
        <v>151</v>
      </c>
      <c r="H15" s="44" t="s">
        <v>151</v>
      </c>
      <c r="I15" s="44" t="s">
        <v>151</v>
      </c>
      <c r="J15" s="46">
        <f>SUM(J16:J29)</f>
        <v>541384.96000000008</v>
      </c>
      <c r="K15" s="20"/>
      <c r="M15" s="54"/>
    </row>
    <row r="16" spans="1:13" x14ac:dyDescent="0.25">
      <c r="A16" s="23"/>
      <c r="B16" s="47" t="s">
        <v>117</v>
      </c>
      <c r="C16" s="48" t="s">
        <v>87</v>
      </c>
      <c r="D16" s="49" t="s">
        <v>88</v>
      </c>
      <c r="E16" s="111" t="s">
        <v>102</v>
      </c>
      <c r="F16" s="50" t="s">
        <v>80</v>
      </c>
      <c r="G16" s="51">
        <f>'MEMÓRIA DE CÁLCULO'!F15</f>
        <v>4</v>
      </c>
      <c r="H16" s="52">
        <f>COTAÇÃO!J11</f>
        <v>2521.21</v>
      </c>
      <c r="I16" s="51">
        <f>COTAÇÃO!J11</f>
        <v>2521.21</v>
      </c>
      <c r="J16" s="53">
        <f>ROUND(G16*I16,2)</f>
        <v>10084.84</v>
      </c>
      <c r="K16" s="20"/>
    </row>
    <row r="17" spans="1:11" x14ac:dyDescent="0.25">
      <c r="A17" s="23"/>
      <c r="B17" s="47" t="s">
        <v>118</v>
      </c>
      <c r="C17" s="48" t="s">
        <v>87</v>
      </c>
      <c r="D17" s="49" t="s">
        <v>89</v>
      </c>
      <c r="E17" s="111" t="s">
        <v>103</v>
      </c>
      <c r="F17" s="50" t="s">
        <v>80</v>
      </c>
      <c r="G17" s="51">
        <f>'MEMÓRIA DE CÁLCULO'!F16</f>
        <v>9</v>
      </c>
      <c r="H17" s="52">
        <f>COTAÇÃO!J12</f>
        <v>2672</v>
      </c>
      <c r="I17" s="51">
        <f>COTAÇÃO!J12</f>
        <v>2672</v>
      </c>
      <c r="J17" s="53">
        <f t="shared" ref="J17:J29" si="0">ROUND(G17*I17,2)</f>
        <v>24048</v>
      </c>
      <c r="K17" s="20"/>
    </row>
    <row r="18" spans="1:11" ht="30" x14ac:dyDescent="0.25">
      <c r="A18" s="23"/>
      <c r="B18" s="47" t="s">
        <v>119</v>
      </c>
      <c r="C18" s="48" t="s">
        <v>87</v>
      </c>
      <c r="D18" s="49" t="s">
        <v>90</v>
      </c>
      <c r="E18" s="111" t="s">
        <v>104</v>
      </c>
      <c r="F18" s="50" t="s">
        <v>80</v>
      </c>
      <c r="G18" s="51">
        <f>'MEMÓRIA DE CÁLCULO'!F17</f>
        <v>34</v>
      </c>
      <c r="H18" s="52">
        <f>COTAÇÃO!J13</f>
        <v>6174.6</v>
      </c>
      <c r="I18" s="51">
        <f>COTAÇÃO!J13</f>
        <v>6174.6</v>
      </c>
      <c r="J18" s="53">
        <f t="shared" si="0"/>
        <v>209936.4</v>
      </c>
      <c r="K18" s="20"/>
    </row>
    <row r="19" spans="1:11" ht="30" x14ac:dyDescent="0.25">
      <c r="A19" s="23"/>
      <c r="B19" s="47" t="s">
        <v>120</v>
      </c>
      <c r="C19" s="48" t="s">
        <v>87</v>
      </c>
      <c r="D19" s="49" t="s">
        <v>91</v>
      </c>
      <c r="E19" s="111" t="s">
        <v>105</v>
      </c>
      <c r="F19" s="50" t="s">
        <v>81</v>
      </c>
      <c r="G19" s="51">
        <f>'MEMÓRIA DE CÁLCULO'!F18</f>
        <v>655.60000000000014</v>
      </c>
      <c r="H19" s="52">
        <f>COTAÇÃO!J14</f>
        <v>14.4</v>
      </c>
      <c r="I19" s="51">
        <f>COTAÇÃO!J14</f>
        <v>14.4</v>
      </c>
      <c r="J19" s="53">
        <f t="shared" si="0"/>
        <v>9440.64</v>
      </c>
      <c r="K19" s="20"/>
    </row>
    <row r="20" spans="1:11" ht="30" x14ac:dyDescent="0.25">
      <c r="A20" s="23"/>
      <c r="B20" s="47" t="s">
        <v>121</v>
      </c>
      <c r="C20" s="48" t="s">
        <v>87</v>
      </c>
      <c r="D20" s="49" t="s">
        <v>92</v>
      </c>
      <c r="E20" s="111" t="s">
        <v>106</v>
      </c>
      <c r="F20" s="50" t="s">
        <v>81</v>
      </c>
      <c r="G20" s="51">
        <f>'MEMÓRIA DE CÁLCULO'!F19</f>
        <v>220</v>
      </c>
      <c r="H20" s="52">
        <f>COTAÇÃO!J15</f>
        <v>37.229999999999997</v>
      </c>
      <c r="I20" s="51">
        <f>COTAÇÃO!J15</f>
        <v>37.229999999999997</v>
      </c>
      <c r="J20" s="53">
        <f t="shared" si="0"/>
        <v>8190.6</v>
      </c>
      <c r="K20" s="20"/>
    </row>
    <row r="21" spans="1:11" ht="30" x14ac:dyDescent="0.25">
      <c r="A21" s="23"/>
      <c r="B21" s="47" t="s">
        <v>122</v>
      </c>
      <c r="C21" s="48" t="s">
        <v>87</v>
      </c>
      <c r="D21" s="49" t="s">
        <v>93</v>
      </c>
      <c r="E21" s="111" t="s">
        <v>107</v>
      </c>
      <c r="F21" s="50" t="s">
        <v>81</v>
      </c>
      <c r="G21" s="51">
        <f>'MEMÓRIA DE CÁLCULO'!F20</f>
        <v>594</v>
      </c>
      <c r="H21" s="52">
        <f>COTAÇÃO!J16</f>
        <v>46.69</v>
      </c>
      <c r="I21" s="51">
        <f>COTAÇÃO!J16</f>
        <v>46.69</v>
      </c>
      <c r="J21" s="53">
        <f t="shared" si="0"/>
        <v>27733.86</v>
      </c>
      <c r="K21" s="20"/>
    </row>
    <row r="22" spans="1:11" ht="30" x14ac:dyDescent="0.25">
      <c r="A22" s="23"/>
      <c r="B22" s="47" t="s">
        <v>123</v>
      </c>
      <c r="C22" s="48" t="s">
        <v>87</v>
      </c>
      <c r="D22" s="49" t="s">
        <v>94</v>
      </c>
      <c r="E22" s="111" t="s">
        <v>108</v>
      </c>
      <c r="F22" s="50" t="s">
        <v>81</v>
      </c>
      <c r="G22" s="51">
        <f>'MEMÓRIA DE CÁLCULO'!F21</f>
        <v>665.5</v>
      </c>
      <c r="H22" s="52">
        <f>COTAÇÃO!J17</f>
        <v>59.73</v>
      </c>
      <c r="I22" s="51">
        <f>COTAÇÃO!J17</f>
        <v>59.73</v>
      </c>
      <c r="J22" s="53">
        <f t="shared" si="0"/>
        <v>39750.32</v>
      </c>
      <c r="K22" s="20"/>
    </row>
    <row r="23" spans="1:11" x14ac:dyDescent="0.25">
      <c r="A23" s="23"/>
      <c r="B23" s="47" t="s">
        <v>124</v>
      </c>
      <c r="C23" s="48" t="s">
        <v>87</v>
      </c>
      <c r="D23" s="49" t="s">
        <v>95</v>
      </c>
      <c r="E23" s="111" t="s">
        <v>109</v>
      </c>
      <c r="F23" s="50" t="s">
        <v>80</v>
      </c>
      <c r="G23" s="51">
        <f>'MEMÓRIA DE CÁLCULO'!F22</f>
        <v>34</v>
      </c>
      <c r="H23" s="52">
        <f>COTAÇÃO!J18</f>
        <v>320.14</v>
      </c>
      <c r="I23" s="51">
        <f>COTAÇÃO!J18</f>
        <v>320.14</v>
      </c>
      <c r="J23" s="53">
        <f t="shared" si="0"/>
        <v>10884.76</v>
      </c>
      <c r="K23" s="20"/>
    </row>
    <row r="24" spans="1:11" ht="30" x14ac:dyDescent="0.25">
      <c r="A24" s="23"/>
      <c r="B24" s="47" t="s">
        <v>125</v>
      </c>
      <c r="C24" s="48" t="s">
        <v>87</v>
      </c>
      <c r="D24" s="49" t="s">
        <v>96</v>
      </c>
      <c r="E24" s="111" t="s">
        <v>110</v>
      </c>
      <c r="F24" s="50" t="s">
        <v>80</v>
      </c>
      <c r="G24" s="51">
        <f>'MEMÓRIA DE CÁLCULO'!F23</f>
        <v>34</v>
      </c>
      <c r="H24" s="52">
        <f>COTAÇÃO!J19</f>
        <v>935.19</v>
      </c>
      <c r="I24" s="51">
        <f>COTAÇÃO!J19</f>
        <v>935.19</v>
      </c>
      <c r="J24" s="53">
        <f t="shared" si="0"/>
        <v>31796.46</v>
      </c>
      <c r="K24" s="20"/>
    </row>
    <row r="25" spans="1:11" ht="30" x14ac:dyDescent="0.25">
      <c r="A25" s="23"/>
      <c r="B25" s="47" t="s">
        <v>126</v>
      </c>
      <c r="C25" s="48" t="s">
        <v>87</v>
      </c>
      <c r="D25" s="49" t="s">
        <v>97</v>
      </c>
      <c r="E25" s="111" t="s">
        <v>111</v>
      </c>
      <c r="F25" s="50" t="s">
        <v>112</v>
      </c>
      <c r="G25" s="51">
        <f>'MEMÓRIA DE CÁLCULO'!F24</f>
        <v>27</v>
      </c>
      <c r="H25" s="52">
        <f>COTAÇÃO!J20</f>
        <v>361</v>
      </c>
      <c r="I25" s="51">
        <f>COTAÇÃO!J20</f>
        <v>361</v>
      </c>
      <c r="J25" s="53">
        <f t="shared" si="0"/>
        <v>9747</v>
      </c>
      <c r="K25" s="20"/>
    </row>
    <row r="26" spans="1:11" ht="30" x14ac:dyDescent="0.25">
      <c r="A26" s="23"/>
      <c r="B26" s="47" t="s">
        <v>127</v>
      </c>
      <c r="C26" s="48" t="s">
        <v>87</v>
      </c>
      <c r="D26" s="49" t="s">
        <v>98</v>
      </c>
      <c r="E26" s="111" t="s">
        <v>113</v>
      </c>
      <c r="F26" s="50" t="s">
        <v>112</v>
      </c>
      <c r="G26" s="51">
        <f>'MEMÓRIA DE CÁLCULO'!F25</f>
        <v>19</v>
      </c>
      <c r="H26" s="52">
        <f>COTAÇÃO!J21</f>
        <v>670.19</v>
      </c>
      <c r="I26" s="51">
        <f>COTAÇÃO!J21</f>
        <v>670.19</v>
      </c>
      <c r="J26" s="53">
        <f t="shared" si="0"/>
        <v>12733.61</v>
      </c>
      <c r="K26" s="20"/>
    </row>
    <row r="27" spans="1:11" ht="30" x14ac:dyDescent="0.25">
      <c r="A27" s="23"/>
      <c r="B27" s="47" t="s">
        <v>128</v>
      </c>
      <c r="C27" s="48" t="s">
        <v>87</v>
      </c>
      <c r="D27" s="49" t="s">
        <v>99</v>
      </c>
      <c r="E27" s="111" t="s">
        <v>114</v>
      </c>
      <c r="F27" s="50" t="s">
        <v>112</v>
      </c>
      <c r="G27" s="51">
        <f>'MEMÓRIA DE CÁLCULO'!F26</f>
        <v>1</v>
      </c>
      <c r="H27" s="52">
        <f>COTAÇÃO!J22</f>
        <v>14263.66</v>
      </c>
      <c r="I27" s="51">
        <f>COTAÇÃO!J22</f>
        <v>14263.66</v>
      </c>
      <c r="J27" s="53">
        <f t="shared" si="0"/>
        <v>14263.66</v>
      </c>
      <c r="K27" s="20"/>
    </row>
    <row r="28" spans="1:11" ht="30" x14ac:dyDescent="0.25">
      <c r="A28" s="23"/>
      <c r="B28" s="47" t="s">
        <v>129</v>
      </c>
      <c r="C28" s="48" t="s">
        <v>87</v>
      </c>
      <c r="D28" s="49" t="s">
        <v>100</v>
      </c>
      <c r="E28" s="111" t="s">
        <v>115</v>
      </c>
      <c r="F28" s="50" t="s">
        <v>112</v>
      </c>
      <c r="G28" s="51">
        <f>'MEMÓRIA DE CÁLCULO'!F27</f>
        <v>3</v>
      </c>
      <c r="H28" s="52">
        <f>COTAÇÃO!J23</f>
        <v>20451.84</v>
      </c>
      <c r="I28" s="51">
        <f>COTAÇÃO!J23</f>
        <v>20451.84</v>
      </c>
      <c r="J28" s="53">
        <f t="shared" si="0"/>
        <v>61355.519999999997</v>
      </c>
      <c r="K28" s="20"/>
    </row>
    <row r="29" spans="1:11" ht="30" x14ac:dyDescent="0.25">
      <c r="A29" s="23"/>
      <c r="B29" s="47" t="s">
        <v>130</v>
      </c>
      <c r="C29" s="48" t="s">
        <v>87</v>
      </c>
      <c r="D29" s="49" t="s">
        <v>101</v>
      </c>
      <c r="E29" s="111" t="s">
        <v>116</v>
      </c>
      <c r="F29" s="50" t="s">
        <v>112</v>
      </c>
      <c r="G29" s="51">
        <f>'MEMÓRIA DE CÁLCULO'!F28</f>
        <v>3</v>
      </c>
      <c r="H29" s="52">
        <f>COTAÇÃO!J24</f>
        <v>23806.43</v>
      </c>
      <c r="I29" s="51">
        <f>COTAÇÃO!J24</f>
        <v>23806.43</v>
      </c>
      <c r="J29" s="53">
        <f t="shared" si="0"/>
        <v>71419.289999999994</v>
      </c>
      <c r="K29" s="20"/>
    </row>
    <row r="30" spans="1:11" ht="9.75" customHeight="1" x14ac:dyDescent="0.25">
      <c r="A30" s="23"/>
      <c r="B30" s="172"/>
      <c r="C30" s="172"/>
      <c r="D30" s="172"/>
      <c r="E30" s="172"/>
      <c r="F30" s="172"/>
      <c r="G30" s="172"/>
      <c r="H30" s="172"/>
      <c r="I30" s="172"/>
      <c r="J30" s="172"/>
      <c r="K30" s="20"/>
    </row>
    <row r="31" spans="1:11" x14ac:dyDescent="0.25">
      <c r="A31" s="23"/>
      <c r="B31" s="17"/>
      <c r="C31" s="17"/>
      <c r="D31" s="17"/>
      <c r="E31" s="17"/>
      <c r="F31" s="17"/>
      <c r="G31" s="17"/>
      <c r="H31" s="17"/>
      <c r="I31" s="17"/>
      <c r="J31" s="17"/>
      <c r="K31" s="20"/>
    </row>
    <row r="32" spans="1:11" x14ac:dyDescent="0.25">
      <c r="A32" s="23"/>
      <c r="B32" s="162" t="s">
        <v>24</v>
      </c>
      <c r="C32" s="163"/>
      <c r="D32" s="163"/>
      <c r="E32" s="163"/>
      <c r="F32" s="163"/>
      <c r="G32" s="163"/>
      <c r="H32" s="163"/>
      <c r="I32" s="163"/>
      <c r="J32" s="164"/>
      <c r="K32" s="20"/>
    </row>
    <row r="33" spans="1:11" x14ac:dyDescent="0.25">
      <c r="A33" s="23"/>
      <c r="B33" s="171"/>
      <c r="C33" s="171"/>
      <c r="D33" s="171"/>
      <c r="E33" s="171"/>
      <c r="F33" s="171"/>
      <c r="G33" s="171"/>
      <c r="H33" s="171"/>
      <c r="I33" s="171"/>
      <c r="J33" s="171"/>
      <c r="K33" s="20"/>
    </row>
    <row r="34" spans="1:11" x14ac:dyDescent="0.25">
      <c r="A34" s="23"/>
      <c r="B34" s="171"/>
      <c r="C34" s="171"/>
      <c r="D34" s="171"/>
      <c r="E34" s="171"/>
      <c r="F34" s="171"/>
      <c r="G34" s="171"/>
      <c r="H34" s="171"/>
      <c r="I34" s="171"/>
      <c r="J34" s="171"/>
      <c r="K34" s="20"/>
    </row>
    <row r="35" spans="1:11" x14ac:dyDescent="0.25">
      <c r="A35" s="23"/>
      <c r="B35" s="55"/>
      <c r="C35" s="55"/>
      <c r="D35" s="55"/>
      <c r="E35" s="55"/>
      <c r="F35" s="55"/>
      <c r="G35" s="55"/>
      <c r="H35" s="55"/>
      <c r="I35" s="55"/>
      <c r="J35" s="55"/>
      <c r="K35" s="20"/>
    </row>
    <row r="36" spans="1:11" x14ac:dyDescent="0.25">
      <c r="A36" s="23"/>
      <c r="B36" s="55"/>
      <c r="C36" s="55"/>
      <c r="D36" s="55"/>
      <c r="E36" s="55"/>
      <c r="F36" s="55"/>
      <c r="G36" s="55"/>
      <c r="H36" s="55"/>
      <c r="I36" s="55"/>
      <c r="J36" s="55"/>
      <c r="K36" s="20"/>
    </row>
    <row r="37" spans="1:11" x14ac:dyDescent="0.25">
      <c r="A37" s="23"/>
      <c r="B37" s="55"/>
      <c r="C37" s="55"/>
      <c r="D37" s="55"/>
      <c r="E37" s="55"/>
      <c r="F37" s="55"/>
      <c r="G37" s="55"/>
      <c r="H37" s="55"/>
      <c r="I37" s="55"/>
      <c r="J37" s="55"/>
      <c r="K37" s="20"/>
    </row>
    <row r="38" spans="1:11" x14ac:dyDescent="0.25">
      <c r="A38" s="23"/>
      <c r="B38" s="17"/>
      <c r="C38" s="17"/>
      <c r="D38" s="17"/>
      <c r="E38" s="17"/>
      <c r="F38" s="17"/>
      <c r="G38" s="17"/>
      <c r="H38" s="17"/>
      <c r="I38" s="17"/>
      <c r="J38" s="17"/>
      <c r="K38" s="20"/>
    </row>
    <row r="39" spans="1:11" x14ac:dyDescent="0.25">
      <c r="A39" s="23"/>
      <c r="B39" s="165" t="str">
        <f>BDI!B42</f>
        <v>São João da Lagoa - MG</v>
      </c>
      <c r="C39" s="165"/>
      <c r="D39" s="165"/>
      <c r="E39" s="17"/>
      <c r="F39" s="56"/>
      <c r="G39" s="56"/>
      <c r="H39" s="56"/>
      <c r="I39" s="17"/>
      <c r="J39" s="17"/>
      <c r="K39" s="20"/>
    </row>
    <row r="40" spans="1:11" x14ac:dyDescent="0.25">
      <c r="A40" s="23"/>
      <c r="B40" s="57" t="s">
        <v>25</v>
      </c>
      <c r="C40" s="17"/>
      <c r="D40" s="17"/>
      <c r="E40" s="17"/>
      <c r="F40" s="58" t="s">
        <v>27</v>
      </c>
      <c r="G40" s="58"/>
      <c r="H40" s="58"/>
      <c r="I40" s="17"/>
      <c r="J40" s="17"/>
      <c r="K40" s="20"/>
    </row>
    <row r="41" spans="1:11" x14ac:dyDescent="0.25">
      <c r="A41" s="23"/>
      <c r="B41" s="17"/>
      <c r="C41" s="17"/>
      <c r="D41" s="17"/>
      <c r="E41" s="17"/>
      <c r="F41" s="15" t="s">
        <v>28</v>
      </c>
      <c r="G41" s="161" t="str">
        <f>BDI!C48</f>
        <v>BRENO DENILSON ANDRADE REIS</v>
      </c>
      <c r="H41" s="161"/>
      <c r="I41" s="17"/>
      <c r="J41" s="17"/>
      <c r="K41" s="20"/>
    </row>
    <row r="42" spans="1:11" x14ac:dyDescent="0.25">
      <c r="A42" s="23"/>
      <c r="B42" s="166" t="str">
        <f>BDI!H42</f>
        <v>sexta-feira, 17 de Junho de 2026</v>
      </c>
      <c r="C42" s="166"/>
      <c r="D42" s="166"/>
      <c r="E42" s="17"/>
      <c r="F42" s="15" t="s">
        <v>29</v>
      </c>
      <c r="G42" s="161" t="str">
        <f>BDI!C49</f>
        <v>143454 / D</v>
      </c>
      <c r="H42" s="161"/>
      <c r="I42" s="17"/>
      <c r="J42" s="17"/>
      <c r="K42" s="20"/>
    </row>
    <row r="43" spans="1:11" x14ac:dyDescent="0.25">
      <c r="A43" s="23"/>
      <c r="B43" s="59" t="s">
        <v>26</v>
      </c>
      <c r="C43" s="60"/>
      <c r="D43" s="60"/>
      <c r="E43" s="17"/>
      <c r="F43" s="15" t="s">
        <v>30</v>
      </c>
      <c r="G43" s="161" t="str">
        <f>BDI!C50</f>
        <v>MG20265043644</v>
      </c>
      <c r="H43" s="161"/>
      <c r="I43" s="17"/>
      <c r="J43" s="17"/>
      <c r="K43" s="20"/>
    </row>
    <row r="44" spans="1:11" x14ac:dyDescent="0.25">
      <c r="A44" s="23"/>
      <c r="B44" s="57"/>
      <c r="C44" s="17"/>
      <c r="D44" s="17"/>
      <c r="E44" s="17"/>
      <c r="F44" s="15"/>
      <c r="G44" s="120"/>
      <c r="H44" s="120"/>
      <c r="I44" s="17"/>
      <c r="J44" s="17"/>
      <c r="K44" s="20"/>
    </row>
    <row r="45" spans="1:11" ht="7.5" customHeight="1" x14ac:dyDescent="0.25">
      <c r="A45" s="24"/>
      <c r="B45" s="21"/>
      <c r="C45" s="21"/>
      <c r="D45" s="21"/>
      <c r="E45" s="21"/>
      <c r="F45" s="21"/>
      <c r="G45" s="21"/>
      <c r="H45" s="21"/>
      <c r="I45" s="21"/>
      <c r="J45" s="21"/>
      <c r="K45" s="22"/>
    </row>
  </sheetData>
  <mergeCells count="21">
    <mergeCell ref="G43:H43"/>
    <mergeCell ref="B32:J32"/>
    <mergeCell ref="B39:D39"/>
    <mergeCell ref="B42:D42"/>
    <mergeCell ref="B9:J9"/>
    <mergeCell ref="B11:E11"/>
    <mergeCell ref="B33:J34"/>
    <mergeCell ref="G41:H41"/>
    <mergeCell ref="G42:H42"/>
    <mergeCell ref="B30:J30"/>
    <mergeCell ref="B2:J2"/>
    <mergeCell ref="B7:C7"/>
    <mergeCell ref="B8:C8"/>
    <mergeCell ref="B4:D4"/>
    <mergeCell ref="B5:D5"/>
    <mergeCell ref="E4:J4"/>
    <mergeCell ref="E5:J5"/>
    <mergeCell ref="E8:G8"/>
    <mergeCell ref="E7:G7"/>
    <mergeCell ref="H8:I8"/>
    <mergeCell ref="H7:I7"/>
  </mergeCells>
  <phoneticPr fontId="14" type="noConversion"/>
  <conditionalFormatting sqref="B9">
    <cfRule type="expression" dxfId="39" priority="40" stopIfTrue="1">
      <formula>ISERROR(INDIRECT(#REF!))</formula>
    </cfRule>
  </conditionalFormatting>
  <conditionalFormatting sqref="C12:D29">
    <cfRule type="expression" dxfId="38" priority="11" stopIfTrue="1">
      <formula>$B12=1</formula>
    </cfRule>
    <cfRule type="expression" dxfId="37" priority="12" stopIfTrue="1">
      <formula>OR($B12=0,$B12=2,$B12=3,$B12=4)</formula>
    </cfRule>
  </conditionalFormatting>
  <conditionalFormatting sqref="E12 E15">
    <cfRule type="expression" dxfId="36" priority="6" stopIfTrue="1">
      <formula>$B12=1</formula>
    </cfRule>
    <cfRule type="expression" dxfId="35" priority="7" stopIfTrue="1">
      <formula>OR($B12=0,$B12=2,$B12=3,$B12=4)</formula>
    </cfRule>
  </conditionalFormatting>
  <conditionalFormatting sqref="F14:G14 F15:I15 F16:G29">
    <cfRule type="expression" dxfId="34" priority="19" stopIfTrue="1">
      <formula>$B14=1</formula>
    </cfRule>
  </conditionalFormatting>
  <conditionalFormatting sqref="F14:H14 F15:I15 F16:G29">
    <cfRule type="expression" dxfId="33" priority="20" stopIfTrue="1">
      <formula>OR($B14=0,$B14=2,$B14=3,$B14=4)</formula>
    </cfRule>
  </conditionalFormatting>
  <conditionalFormatting sqref="F11:I13">
    <cfRule type="expression" dxfId="32" priority="1" stopIfTrue="1">
      <formula>$B11=1</formula>
    </cfRule>
    <cfRule type="expression" dxfId="31" priority="2" stopIfTrue="1">
      <formula>OR($B11=0,$B11=2,$B11=3,$B11=4)</formula>
    </cfRule>
  </conditionalFormatting>
  <conditionalFormatting sqref="H14 H16:H29">
    <cfRule type="expression" dxfId="30" priority="8" stopIfTrue="1">
      <formula>$B14=1</formula>
    </cfRule>
  </conditionalFormatting>
  <conditionalFormatting sqref="H14">
    <cfRule type="expression" dxfId="29" priority="26" stopIfTrue="1">
      <formula>AND(TIPOORCAMENTO="Licitado",$B14&lt;&gt;"L",$B14&lt;&gt;-1)</formula>
    </cfRule>
  </conditionalFormatting>
  <conditionalFormatting sqref="H16:H29">
    <cfRule type="expression" dxfId="28" priority="9" stopIfTrue="1">
      <formula>OR($B16=0,$B16=2,$B16=3,$B16=4)</formula>
    </cfRule>
    <cfRule type="expression" dxfId="27" priority="10" stopIfTrue="1">
      <formula>AND(TIPOORCAMENTO="Licitado",$B16&lt;&gt;"L",$B16&lt;&gt;-1)</formula>
    </cfRule>
  </conditionalFormatting>
  <conditionalFormatting sqref="J12:J13 B12:B29 I14:J14 J15 I16:J29">
    <cfRule type="expression" dxfId="26" priority="31" stopIfTrue="1">
      <formula>$B12=1</formula>
    </cfRule>
    <cfRule type="expression" dxfId="25" priority="32" stopIfTrue="1">
      <formula>OR($B12=0,$B12=2,$B12=3,$B12=4)</formula>
    </cfRule>
  </conditionalFormatting>
  <dataValidations count="4">
    <dataValidation allowBlank="1" showInputMessage="1" showErrorMessage="1" prompt="Para Orçamento Proposto, o Preço Unitário é resultado do produto do Custo Unitário pelo BDI._x000a_Para Orçamento Licitado, deve ser preenchido na Coluna AL." sqref="I14 I16:I29" xr:uid="{2F66BD13-DB74-443D-AF9F-DCB7BC881B6C}"/>
    <dataValidation allowBlank="1" showInputMessage="1" showErrorMessage="1" prompt="A entrada de quantidades é feita na coluna AJ se acompanhamento por BM, ou na aba &quot;Memória de Cálculo/PLQ&quot; se acompanhamento por PLE." sqref="G16:G29 G14" xr:uid="{9435D31E-8F39-46DC-8664-E6873A956EA7}"/>
    <dataValidation type="list" allowBlank="1" sqref="C12:C29" xr:uid="{6A803080-FFBE-43C8-BA75-8EE08DDFB569}">
      <formula1>"SINAPI,SINAPI-I,SICRO,Composição,Cotação"</formula1>
      <formula2>0</formula2>
    </dataValidation>
    <dataValidation type="decimal" operator="greaterThan" allowBlank="1" showErrorMessage="1" error="Apenas números decimais maiores que zero." sqref="H14 H16:H29" xr:uid="{3BB7DEE2-B581-40FA-B66A-7BBFD56D8751}">
      <formula1>0</formula1>
      <formula2>0</formula2>
    </dataValidation>
  </dataValidations>
  <printOptions horizontalCentered="1"/>
  <pageMargins left="0.39370078740157483" right="0.78740157480314965" top="0.39370078740157483" bottom="0.39370078740157483" header="0.39370078740157483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3F06-9290-48FA-AD6D-F64006019ED9}">
  <dimension ref="A1:O24"/>
  <sheetViews>
    <sheetView topLeftCell="A3" workbookViewId="0">
      <selection activeCell="P19" sqref="P19"/>
    </sheetView>
  </sheetViews>
  <sheetFormatPr defaultRowHeight="15" x14ac:dyDescent="0.25"/>
  <cols>
    <col min="1" max="1" width="1.5703125" customWidth="1"/>
    <col min="3" max="3" width="47.85546875" customWidth="1"/>
    <col min="4" max="4" width="17.42578125" customWidth="1"/>
    <col min="5" max="5" width="14.5703125" customWidth="1"/>
    <col min="6" max="9" width="12.7109375" customWidth="1"/>
    <col min="10" max="10" width="14.85546875" customWidth="1"/>
    <col min="11" max="11" width="1.85546875" customWidth="1"/>
    <col min="12" max="12" width="2" customWidth="1"/>
    <col min="14" max="14" width="12" customWidth="1"/>
    <col min="15" max="15" width="13.5703125" customWidth="1"/>
  </cols>
  <sheetData>
    <row r="1" spans="1:14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4" ht="15.75" x14ac:dyDescent="0.25">
      <c r="A2" s="23"/>
      <c r="B2" s="141" t="s">
        <v>76</v>
      </c>
      <c r="C2" s="141"/>
      <c r="D2" s="141"/>
      <c r="E2" s="141"/>
      <c r="F2" s="141"/>
      <c r="G2" s="141"/>
      <c r="H2" s="141"/>
      <c r="I2" s="141"/>
      <c r="J2" s="141"/>
      <c r="K2" s="20"/>
    </row>
    <row r="3" spans="1:14" x14ac:dyDescent="0.25">
      <c r="A3" s="23"/>
      <c r="B3" s="110"/>
      <c r="C3" s="110"/>
      <c r="D3" s="110"/>
      <c r="E3" s="110"/>
      <c r="F3" s="110"/>
      <c r="G3" s="110"/>
      <c r="H3" s="110"/>
      <c r="I3" s="110"/>
      <c r="J3" s="113"/>
      <c r="K3" s="20"/>
    </row>
    <row r="4" spans="1:14" x14ac:dyDescent="0.25">
      <c r="A4" s="23"/>
      <c r="B4" s="207" t="s">
        <v>2</v>
      </c>
      <c r="C4" s="209"/>
      <c r="D4" s="207" t="s">
        <v>42</v>
      </c>
      <c r="E4" s="208"/>
      <c r="F4" s="208"/>
      <c r="G4" s="208"/>
      <c r="H4" s="208"/>
      <c r="I4" s="208"/>
      <c r="J4" s="209"/>
      <c r="K4" s="20"/>
    </row>
    <row r="5" spans="1:14" ht="43.5" customHeight="1" x14ac:dyDescent="0.25">
      <c r="A5" s="23"/>
      <c r="B5" s="217" t="str">
        <f>ORÇAMENTO!B5</f>
        <v>PREFEITURA MUNICIPAL DE SÃO JOÃO DA LAGOA</v>
      </c>
      <c r="C5" s="218"/>
      <c r="D5" s="210" t="str">
        <f>ORÇAMENTO!E5</f>
        <v>EXECUÇÃO DE OBRAS DE EXTENSÃO E MODERNIZAÇÃO DA REDE DE ILUINAÇÃO PÚBLICA EM NOVOS TRECHOS DE VIAS URBANAS NA SEDE DO MUNÍCIPIO DE SÃO JOÃO DA LAGOA - MG E DISTRITO DE SÃO ROBERTO DE MINAS</v>
      </c>
      <c r="E5" s="211"/>
      <c r="F5" s="211"/>
      <c r="G5" s="211"/>
      <c r="H5" s="211"/>
      <c r="I5" s="211"/>
      <c r="J5" s="212"/>
      <c r="K5" s="20"/>
    </row>
    <row r="6" spans="1:14" x14ac:dyDescent="0.25">
      <c r="A6" s="23"/>
      <c r="B6" s="81"/>
      <c r="C6" s="81"/>
      <c r="D6" s="81"/>
      <c r="E6" s="81"/>
      <c r="F6" s="81"/>
      <c r="G6" s="81"/>
      <c r="H6" s="81"/>
      <c r="I6" s="81"/>
      <c r="J6" s="81"/>
      <c r="K6" s="20"/>
    </row>
    <row r="7" spans="1:14" x14ac:dyDescent="0.25">
      <c r="A7" s="23"/>
      <c r="B7" s="213" t="s">
        <v>47</v>
      </c>
      <c r="C7" s="214" t="s">
        <v>50</v>
      </c>
      <c r="D7" s="215" t="s">
        <v>70</v>
      </c>
      <c r="E7" s="216" t="s">
        <v>71</v>
      </c>
      <c r="F7" s="96">
        <v>1</v>
      </c>
      <c r="G7" s="97">
        <v>2</v>
      </c>
      <c r="H7" s="97">
        <v>3</v>
      </c>
      <c r="I7" s="97">
        <v>4</v>
      </c>
      <c r="J7" s="97">
        <v>5</v>
      </c>
      <c r="K7" s="20"/>
    </row>
    <row r="8" spans="1:14" x14ac:dyDescent="0.25">
      <c r="A8" s="23"/>
      <c r="B8" s="213"/>
      <c r="C8" s="214"/>
      <c r="D8" s="215"/>
      <c r="E8" s="216"/>
      <c r="F8" s="140">
        <v>46174</v>
      </c>
      <c r="G8" s="140">
        <v>46204</v>
      </c>
      <c r="H8" s="140">
        <v>46235</v>
      </c>
      <c r="I8" s="140">
        <v>46266</v>
      </c>
      <c r="J8" s="140">
        <v>46296</v>
      </c>
      <c r="K8" s="20"/>
    </row>
    <row r="9" spans="1:14" x14ac:dyDescent="0.25">
      <c r="A9" s="23"/>
      <c r="B9" s="98" t="s">
        <v>69</v>
      </c>
      <c r="C9" s="131" t="str">
        <f>ORÇAMENTO!E12</f>
        <v>EXTENSÃO DE REDE</v>
      </c>
      <c r="D9" s="99">
        <f>ORÇAMENTO!J12</f>
        <v>542973.54</v>
      </c>
      <c r="E9" s="100" t="s">
        <v>72</v>
      </c>
      <c r="F9" s="101">
        <f>ROUND(((F10*$D$10)+(F11*$D$11))/$D$9,4)</f>
        <v>0.3619</v>
      </c>
      <c r="G9" s="101">
        <f>ROUND(((G10*$D$10)+(G11*$D$11))/$D$9,4)</f>
        <v>0.31909999999999999</v>
      </c>
      <c r="H9" s="101">
        <f>ROUND(((H10*$D$10)+(H11*$D$11))/$D$9,4)</f>
        <v>0.31909999999999999</v>
      </c>
      <c r="I9" s="101"/>
      <c r="J9" s="101">
        <v>0</v>
      </c>
      <c r="K9" s="20"/>
      <c r="N9" s="7">
        <f>SUM(F9:I9)</f>
        <v>1.0001</v>
      </c>
    </row>
    <row r="10" spans="1:14" x14ac:dyDescent="0.25">
      <c r="A10" s="23"/>
      <c r="B10" s="98" t="s">
        <v>73</v>
      </c>
      <c r="C10" s="108" t="str">
        <f>ORÇAMENTO!E13</f>
        <v>SERVIÇOS INICIAIS</v>
      </c>
      <c r="D10" s="99">
        <f>ORÇAMENTO!J13</f>
        <v>1588.58</v>
      </c>
      <c r="E10" s="100" t="s">
        <v>72</v>
      </c>
      <c r="F10" s="101">
        <v>1</v>
      </c>
      <c r="G10" s="101"/>
      <c r="H10" s="101"/>
      <c r="I10" s="101"/>
      <c r="J10" s="101">
        <v>0</v>
      </c>
      <c r="K10" s="20"/>
    </row>
    <row r="11" spans="1:14" x14ac:dyDescent="0.25">
      <c r="A11" s="23"/>
      <c r="B11" s="98" t="s">
        <v>74</v>
      </c>
      <c r="C11" s="108" t="str">
        <f>ORÇAMENTO!E15</f>
        <v>INSTALAÇÕES GERAIS</v>
      </c>
      <c r="D11" s="99">
        <f>ORÇAMENTO!J15</f>
        <v>541384.96000000008</v>
      </c>
      <c r="E11" s="100" t="s">
        <v>72</v>
      </c>
      <c r="F11" s="101">
        <v>0.36</v>
      </c>
      <c r="G11" s="101">
        <v>0.32</v>
      </c>
      <c r="H11" s="101">
        <v>0.32</v>
      </c>
      <c r="I11" s="101"/>
      <c r="J11" s="101"/>
      <c r="K11" s="20"/>
      <c r="N11">
        <v>1543.29</v>
      </c>
    </row>
    <row r="12" spans="1:14" ht="7.5" customHeight="1" x14ac:dyDescent="0.25">
      <c r="A12" s="23"/>
      <c r="B12" s="206"/>
      <c r="C12" s="206"/>
      <c r="D12" s="206"/>
      <c r="E12" s="206"/>
      <c r="F12" s="206"/>
      <c r="G12" s="206"/>
      <c r="H12" s="206"/>
      <c r="I12" s="206"/>
      <c r="J12" s="206"/>
      <c r="K12" s="20"/>
    </row>
    <row r="13" spans="1:14" ht="7.5" customHeight="1" x14ac:dyDescent="0.25">
      <c r="A13" s="23"/>
      <c r="B13" s="106"/>
      <c r="C13" s="106"/>
      <c r="D13" s="106"/>
      <c r="E13" s="106"/>
      <c r="F13" s="106"/>
      <c r="G13" s="106"/>
      <c r="H13" s="106"/>
      <c r="I13" s="106"/>
      <c r="J13" s="106"/>
      <c r="K13" s="20"/>
    </row>
    <row r="14" spans="1:14" x14ac:dyDescent="0.25">
      <c r="A14" s="23"/>
      <c r="B14" s="203"/>
      <c r="C14" s="203"/>
      <c r="D14" s="202" t="s">
        <v>77</v>
      </c>
      <c r="E14" s="102" t="s">
        <v>75</v>
      </c>
      <c r="F14" s="103">
        <f>F9</f>
        <v>0.3619</v>
      </c>
      <c r="G14" s="103">
        <f>G9</f>
        <v>0.31909999999999999</v>
      </c>
      <c r="H14" s="103">
        <f>H9</f>
        <v>0.31909999999999999</v>
      </c>
      <c r="I14" s="106"/>
      <c r="J14" s="106"/>
      <c r="K14" s="20"/>
      <c r="N14" s="127">
        <f>ROUND(F11*D11,2)</f>
        <v>194898.59</v>
      </c>
    </row>
    <row r="15" spans="1:14" x14ac:dyDescent="0.25">
      <c r="A15" s="23"/>
      <c r="B15" s="203"/>
      <c r="C15" s="203"/>
      <c r="D15" s="202"/>
      <c r="E15" s="104" t="s">
        <v>78</v>
      </c>
      <c r="F15" s="105">
        <f>F14*$D$9</f>
        <v>196502.12412600001</v>
      </c>
      <c r="G15" s="105">
        <f>G14*$D$9</f>
        <v>173262.85661400002</v>
      </c>
      <c r="H15" s="105">
        <f>H14*$D$9</f>
        <v>173262.85661400002</v>
      </c>
      <c r="I15" s="106"/>
      <c r="J15" s="106"/>
      <c r="K15" s="20"/>
    </row>
    <row r="16" spans="1:14" x14ac:dyDescent="0.25">
      <c r="A16" s="23"/>
      <c r="B16" s="203"/>
      <c r="C16" s="203"/>
      <c r="D16" s="202" t="s">
        <v>79</v>
      </c>
      <c r="E16" s="102" t="s">
        <v>75</v>
      </c>
      <c r="F16" s="103">
        <f>F14</f>
        <v>0.3619</v>
      </c>
      <c r="G16" s="103">
        <f t="shared" ref="G16" si="0">F16+G14</f>
        <v>0.68100000000000005</v>
      </c>
      <c r="H16" s="103">
        <f t="shared" ref="H16:H17" si="1">G16+H14</f>
        <v>1.0001</v>
      </c>
      <c r="I16" s="106"/>
      <c r="J16" s="106"/>
      <c r="K16" s="20"/>
      <c r="N16">
        <f>SUM(N14+N11)</f>
        <v>196441.88</v>
      </c>
    </row>
    <row r="17" spans="1:15" x14ac:dyDescent="0.25">
      <c r="A17" s="23"/>
      <c r="B17" s="203"/>
      <c r="C17" s="203"/>
      <c r="D17" s="202"/>
      <c r="E17" s="104" t="s">
        <v>78</v>
      </c>
      <c r="F17" s="105">
        <f>F15</f>
        <v>196502.12412600001</v>
      </c>
      <c r="G17" s="105">
        <f>F17+G15</f>
        <v>369764.98074000003</v>
      </c>
      <c r="H17" s="105">
        <f t="shared" si="1"/>
        <v>543027.83735400008</v>
      </c>
      <c r="I17" s="107"/>
      <c r="J17" s="107"/>
      <c r="K17" s="20"/>
      <c r="L17" s="7"/>
      <c r="N17">
        <f>N16/D9</f>
        <v>0.36178904776833137</v>
      </c>
      <c r="O17">
        <f>N14/D9</f>
        <v>0.35894675456929259</v>
      </c>
    </row>
    <row r="18" spans="1:15" x14ac:dyDescent="0.25">
      <c r="A18" s="23"/>
      <c r="B18" s="17"/>
      <c r="C18" s="17"/>
      <c r="D18" s="17"/>
      <c r="E18" s="17"/>
      <c r="F18" s="17"/>
      <c r="G18" s="17"/>
      <c r="H18" s="17"/>
      <c r="I18" s="17"/>
      <c r="J18" s="17"/>
      <c r="K18" s="20"/>
    </row>
    <row r="19" spans="1:15" ht="59.25" customHeight="1" x14ac:dyDescent="0.25">
      <c r="A19" s="23"/>
      <c r="B19" s="165" t="str">
        <f>ORÇAMENTO!B39</f>
        <v>São João da Lagoa - MG</v>
      </c>
      <c r="C19" s="165"/>
      <c r="D19" s="17"/>
      <c r="E19" s="17"/>
      <c r="F19" s="205"/>
      <c r="G19" s="205"/>
      <c r="H19" s="205"/>
      <c r="I19" s="205"/>
      <c r="J19" s="17"/>
      <c r="K19" s="20"/>
    </row>
    <row r="20" spans="1:15" x14ac:dyDescent="0.25">
      <c r="A20" s="23"/>
      <c r="B20" s="57" t="s">
        <v>25</v>
      </c>
      <c r="C20" s="17"/>
      <c r="D20" s="17"/>
      <c r="E20" s="17"/>
      <c r="F20" s="204" t="s">
        <v>27</v>
      </c>
      <c r="G20" s="204"/>
      <c r="H20" s="204"/>
      <c r="I20" s="204"/>
      <c r="J20" s="17"/>
      <c r="K20" s="20"/>
    </row>
    <row r="21" spans="1:15" x14ac:dyDescent="0.25">
      <c r="A21" s="23"/>
      <c r="B21" s="17"/>
      <c r="C21" s="17"/>
      <c r="D21" s="17"/>
      <c r="E21" s="17"/>
      <c r="F21" s="15" t="s">
        <v>28</v>
      </c>
      <c r="G21" s="161" t="str">
        <f>ORÇAMENTO!G41</f>
        <v>BRENO DENILSON ANDRADE REIS</v>
      </c>
      <c r="H21" s="161"/>
      <c r="I21" s="161"/>
      <c r="J21" s="116"/>
      <c r="K21" s="20"/>
    </row>
    <row r="22" spans="1:15" x14ac:dyDescent="0.25">
      <c r="A22" s="23"/>
      <c r="B22" s="166" t="str">
        <f>ORÇAMENTO!B42</f>
        <v>sexta-feira, 17 de Junho de 2026</v>
      </c>
      <c r="C22" s="166"/>
      <c r="D22" s="17"/>
      <c r="E22" s="17"/>
      <c r="F22" s="15" t="s">
        <v>29</v>
      </c>
      <c r="G22" s="161" t="str">
        <f>ORÇAMENTO!G42</f>
        <v>143454 / D</v>
      </c>
      <c r="H22" s="161"/>
      <c r="I22" s="161"/>
      <c r="J22" s="116"/>
      <c r="K22" s="20"/>
    </row>
    <row r="23" spans="1:15" x14ac:dyDescent="0.25">
      <c r="A23" s="23"/>
      <c r="B23" s="59" t="s">
        <v>26</v>
      </c>
      <c r="C23" s="60"/>
      <c r="D23" s="17"/>
      <c r="E23" s="17"/>
      <c r="F23" s="15" t="s">
        <v>30</v>
      </c>
      <c r="G23" s="161" t="str">
        <f>ORÇAMENTO!G43</f>
        <v>MG20265043644</v>
      </c>
      <c r="H23" s="161"/>
      <c r="I23" s="161"/>
      <c r="J23" s="116"/>
      <c r="K23" s="20"/>
    </row>
    <row r="24" spans="1:15" ht="4.5" customHeight="1" x14ac:dyDescent="0.25">
      <c r="A24" s="24"/>
      <c r="B24" s="21"/>
      <c r="C24" s="21"/>
      <c r="D24" s="21"/>
      <c r="E24" s="21"/>
      <c r="F24" s="21"/>
      <c r="G24" s="21"/>
      <c r="H24" s="21"/>
      <c r="I24" s="21"/>
      <c r="J24" s="21"/>
      <c r="K24" s="22"/>
    </row>
  </sheetData>
  <mergeCells count="20">
    <mergeCell ref="B12:J12"/>
    <mergeCell ref="B2:J2"/>
    <mergeCell ref="D4:J4"/>
    <mergeCell ref="D5:J5"/>
    <mergeCell ref="B7:B8"/>
    <mergeCell ref="C7:C8"/>
    <mergeCell ref="D7:D8"/>
    <mergeCell ref="E7:E8"/>
    <mergeCell ref="B4:C4"/>
    <mergeCell ref="B5:C5"/>
    <mergeCell ref="D14:D15"/>
    <mergeCell ref="D16:D17"/>
    <mergeCell ref="B14:C17"/>
    <mergeCell ref="G23:I23"/>
    <mergeCell ref="B22:C22"/>
    <mergeCell ref="B19:C19"/>
    <mergeCell ref="F20:I20"/>
    <mergeCell ref="F19:I19"/>
    <mergeCell ref="G21:I21"/>
    <mergeCell ref="G22:I22"/>
  </mergeCells>
  <conditionalFormatting sqref="B14">
    <cfRule type="expression" dxfId="24" priority="72" stopIfTrue="1">
      <formula>$K10=2</formula>
    </cfRule>
    <cfRule type="expression" dxfId="23" priority="73" stopIfTrue="1">
      <formula>AND($K10=1,$Q10&lt;&gt;"")</formula>
    </cfRule>
  </conditionalFormatting>
  <conditionalFormatting sqref="B11:D11 B12">
    <cfRule type="expression" dxfId="22" priority="12" stopIfTrue="1">
      <formula>$K8=2</formula>
    </cfRule>
    <cfRule type="expression" dxfId="21" priority="13" stopIfTrue="1">
      <formula>AND($K8=1,$Q8&lt;&gt;"")</formula>
    </cfRule>
  </conditionalFormatting>
  <conditionalFormatting sqref="B13:J13">
    <cfRule type="expression" dxfId="20" priority="1" stopIfTrue="1">
      <formula>B13&lt;&gt;0</formula>
    </cfRule>
  </conditionalFormatting>
  <conditionalFormatting sqref="F15:H15">
    <cfRule type="expression" dxfId="19" priority="3" stopIfTrue="1">
      <formula>OFFSET(F$31,0,-1)&gt;=1</formula>
    </cfRule>
  </conditionalFormatting>
  <conditionalFormatting sqref="F9:J11 F14:H14 I14:J16 F16:H16">
    <cfRule type="expression" dxfId="18" priority="15" stopIfTrue="1">
      <formula>F9&lt;&gt;0</formula>
    </cfRule>
  </conditionalFormatting>
  <conditionalFormatting sqref="G17:J17">
    <cfRule type="expression" dxfId="17" priority="2" stopIfTrue="1">
      <formula>OFFSET(G$31,0,-1)&gt;=1</formula>
    </cfRule>
  </conditionalFormatting>
  <dataValidations xWindow="752" yWindow="629" count="3">
    <dataValidation type="date" operator="greaterThan" allowBlank="1" showInputMessage="1" showErrorMessage="1" errorTitle="Erro" error="Digite somente datas." sqref="F8:J8" xr:uid="{A48D05DD-1223-484E-9C12-F6657675C469}">
      <formula1>36526</formula1>
    </dataValidation>
    <dataValidation type="whole" operator="greaterThan" allowBlank="1" showErrorMessage="1" sqref="F7" xr:uid="{1D3363F3-FF24-425A-95A7-3C8C8FF7A437}">
      <formula1>0</formula1>
      <formula2>0</formula2>
    </dataValidation>
    <dataValidation allowBlank="1" showInputMessage="1" showErrorMessage="1" prompt="Preencha na célula de baixo. Se o acompanhamento for PLE, preencha no botão PREENCHIMENTO POR EVENTOS, acima." sqref="I14:J16 F16:H16 B13:J13 F14:H14 F9:J11" xr:uid="{AC027FE9-5468-47AD-A7EB-8D4777257594}"/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49FE-9209-4521-B2A7-DDE425C25950}">
  <dimension ref="A1:W39"/>
  <sheetViews>
    <sheetView zoomScale="70" zoomScaleNormal="70" workbookViewId="0">
      <selection activeCell="O24" sqref="O24"/>
    </sheetView>
  </sheetViews>
  <sheetFormatPr defaultColWidth="9.140625" defaultRowHeight="15" x14ac:dyDescent="0.25"/>
  <cols>
    <col min="1" max="1" width="1.85546875" style="81" customWidth="1"/>
    <col min="2" max="3" width="9.140625" style="80"/>
    <col min="4" max="4" width="49" style="80" customWidth="1"/>
    <col min="5" max="5" width="12.7109375" style="80" customWidth="1"/>
    <col min="6" max="6" width="13.42578125" style="80" customWidth="1"/>
    <col min="7" max="7" width="26.5703125" style="80" customWidth="1"/>
    <col min="8" max="8" width="16.7109375" style="80" customWidth="1"/>
    <col min="9" max="18" width="13.7109375" style="80" customWidth="1"/>
    <col min="19" max="19" width="2.140625" style="80" customWidth="1"/>
    <col min="20" max="20" width="9.140625" style="80"/>
    <col min="21" max="21" width="12.42578125" style="80" bestFit="1" customWidth="1"/>
    <col min="22" max="22" width="14" style="80" customWidth="1"/>
    <col min="23" max="23" width="13.28515625" style="80" customWidth="1"/>
    <col min="24" max="16384" width="9.140625" style="80"/>
  </cols>
  <sheetData>
    <row r="1" spans="1:23" x14ac:dyDescent="0.25">
      <c r="A1" s="8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91"/>
    </row>
    <row r="2" spans="1:23" ht="15.75" x14ac:dyDescent="0.25">
      <c r="A2" s="90"/>
      <c r="B2" s="141" t="s">
        <v>68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35"/>
      <c r="S2" s="92"/>
    </row>
    <row r="3" spans="1:23" ht="15.75" x14ac:dyDescent="0.25">
      <c r="A3" s="90"/>
      <c r="B3" s="141" t="s">
        <v>62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35"/>
      <c r="S3" s="92"/>
    </row>
    <row r="4" spans="1:23" x14ac:dyDescent="0.25">
      <c r="A4" s="9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92"/>
    </row>
    <row r="5" spans="1:23" x14ac:dyDescent="0.25">
      <c r="A5" s="90"/>
      <c r="B5" s="207" t="s">
        <v>2</v>
      </c>
      <c r="C5" s="208"/>
      <c r="D5" s="208"/>
      <c r="E5" s="227" t="s">
        <v>42</v>
      </c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136"/>
      <c r="S5" s="92"/>
    </row>
    <row r="6" spans="1:23" ht="30" customHeight="1" x14ac:dyDescent="0.25">
      <c r="A6" s="90"/>
      <c r="B6" s="217" t="str">
        <f>ORÇAMENTO!B5</f>
        <v>PREFEITURA MUNICIPAL DE SÃO JOÃO DA LAGOA</v>
      </c>
      <c r="C6" s="225"/>
      <c r="D6" s="225"/>
      <c r="E6" s="210" t="str">
        <f>CRONOGRAMA!D5</f>
        <v>EXECUÇÃO DE OBRAS DE EXTENSÃO E MODERNIZAÇÃO DA REDE DE ILUINAÇÃO PÚBLICA EM NOVOS TRECHOS DE VIAS URBANAS NA SEDE DO MUNÍCIPIO DE SÃO JOÃO DA LAGOA - MG E DISTRITO DE SÃO ROBERTO DE MINAS</v>
      </c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83"/>
      <c r="S6" s="92"/>
    </row>
    <row r="7" spans="1:23" x14ac:dyDescent="0.25">
      <c r="A7" s="90"/>
      <c r="B7" s="81"/>
      <c r="C7" s="81"/>
      <c r="D7" s="82"/>
      <c r="E7" s="82"/>
      <c r="F7" s="82"/>
      <c r="G7" s="82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92"/>
    </row>
    <row r="8" spans="1:23" ht="78" customHeight="1" x14ac:dyDescent="0.25">
      <c r="A8" s="90"/>
      <c r="B8" s="81"/>
      <c r="C8" s="81"/>
      <c r="D8" s="81"/>
      <c r="E8" s="81"/>
      <c r="F8" s="81"/>
      <c r="G8" s="81"/>
      <c r="H8" s="118" t="s">
        <v>66</v>
      </c>
      <c r="I8" s="109" t="s">
        <v>143</v>
      </c>
      <c r="J8" s="109" t="s">
        <v>144</v>
      </c>
      <c r="K8" s="109" t="s">
        <v>145</v>
      </c>
      <c r="L8" s="109" t="s">
        <v>146</v>
      </c>
      <c r="M8" s="109" t="s">
        <v>147</v>
      </c>
      <c r="N8" s="109" t="s">
        <v>148</v>
      </c>
      <c r="O8" s="109" t="s">
        <v>153</v>
      </c>
      <c r="P8" s="109" t="s">
        <v>149</v>
      </c>
      <c r="Q8" s="109" t="s">
        <v>150</v>
      </c>
      <c r="R8" s="109" t="s">
        <v>154</v>
      </c>
      <c r="S8" s="92"/>
    </row>
    <row r="9" spans="1:23" ht="25.5" x14ac:dyDescent="0.25">
      <c r="A9" s="90"/>
      <c r="B9" s="31" t="s">
        <v>46</v>
      </c>
      <c r="C9" s="67" t="s">
        <v>47</v>
      </c>
      <c r="D9" s="31" t="s">
        <v>50</v>
      </c>
      <c r="E9" s="32" t="s">
        <v>51</v>
      </c>
      <c r="F9" s="31" t="s">
        <v>52</v>
      </c>
      <c r="G9" s="31" t="s">
        <v>62</v>
      </c>
      <c r="H9" s="31" t="s">
        <v>64</v>
      </c>
      <c r="I9" s="31">
        <v>1</v>
      </c>
      <c r="J9" s="31">
        <v>2</v>
      </c>
      <c r="K9" s="31"/>
      <c r="L9" s="31"/>
      <c r="M9" s="31"/>
      <c r="N9" s="31"/>
      <c r="O9" s="31"/>
      <c r="P9" s="31"/>
      <c r="Q9" s="31"/>
      <c r="R9" s="31"/>
      <c r="S9" s="92"/>
    </row>
    <row r="10" spans="1:23" ht="48" customHeight="1" x14ac:dyDescent="0.25">
      <c r="A10" s="90"/>
      <c r="B10" s="73" t="str">
        <f>IF(TIPOORCAMENTO="LICITADO","CTEF","LOTE")</f>
        <v>LOTE</v>
      </c>
      <c r="C10" s="222" t="str">
        <f>CRONOGRAMA!D5</f>
        <v>EXECUÇÃO DE OBRAS DE EXTENSÃO E MODERNIZAÇÃO DA REDE DE ILUINAÇÃO PÚBLICA EM NOVOS TRECHOS DE VIAS URBANAS NA SEDE DO MUNÍCIPIO DE SÃO JOÃO DA LAGOA - MG E DISTRITO DE SÃO ROBERTO DE MINAS</v>
      </c>
      <c r="D10" s="223"/>
      <c r="E10" s="223"/>
      <c r="F10" s="223"/>
      <c r="G10" s="224"/>
      <c r="H10" s="119" t="s">
        <v>65</v>
      </c>
      <c r="I10" s="138">
        <f t="shared" ref="I10:R10" si="0">ROUND(((I13*$V$13)+(I15*$V$15)+(I16*$V$16)+(I17*$V$17)+(I18*$V$18)+(I19*$V$19)+(I20*$V$20)+(I21*$V$21)+(I22*$V$22)+(I23*$V$23)+(I24*$V$24)+(I25*$V$25)+(I26*$V$26)+(I27*$V$27)+(I28*$V$28)),2)</f>
        <v>52692.32</v>
      </c>
      <c r="J10" s="138">
        <f t="shared" si="0"/>
        <v>23510.1</v>
      </c>
      <c r="K10" s="138">
        <f t="shared" si="0"/>
        <v>44158.06</v>
      </c>
      <c r="L10" s="138">
        <f t="shared" si="0"/>
        <v>23510.1</v>
      </c>
      <c r="M10" s="138">
        <f t="shared" si="0"/>
        <v>59882.48</v>
      </c>
      <c r="N10" s="138">
        <f t="shared" si="0"/>
        <v>65330.7</v>
      </c>
      <c r="O10" s="138">
        <f t="shared" si="0"/>
        <v>33075.01</v>
      </c>
      <c r="P10" s="138">
        <f t="shared" si="0"/>
        <v>154096.31</v>
      </c>
      <c r="Q10" s="138">
        <f t="shared" si="0"/>
        <v>62912.02</v>
      </c>
      <c r="R10" s="138">
        <f t="shared" si="0"/>
        <v>23806.43</v>
      </c>
      <c r="S10" s="92"/>
      <c r="U10" s="134">
        <f>SUM(I10:Q10)</f>
        <v>519167.10000000003</v>
      </c>
    </row>
    <row r="11" spans="1:23" x14ac:dyDescent="0.25">
      <c r="A11" s="90"/>
      <c r="B11" s="84" t="s">
        <v>55</v>
      </c>
      <c r="C11" s="74">
        <v>1</v>
      </c>
      <c r="D11" s="84"/>
      <c r="E11" s="75" t="str">
        <f ca="1">IF($E11&lt;&gt;"Serviço","",OFFSET([1]ORÇAMENTO!P$15,ROW(E11)-ROW(E$10),0))</f>
        <v/>
      </c>
      <c r="F11" s="45">
        <f ca="1">IF($E11&lt;&gt;"Serviço",0,IF(ACOMPANHAMENTO="BM",ROUND(OFFSET([1]ORÇAMENTO!AG$15,ROW(F11)-ROW(F$10),0),15-13*[1]ORÇAMENTO!$AF$7),SUMPRODUCT((#REF!&lt;&gt;"")*ROUND($S11:$W11,15-13*[1]ORÇAMENTO!$AF$7))))</f>
        <v>0</v>
      </c>
      <c r="G11" s="76"/>
      <c r="H11" s="77" t="str">
        <f ca="1">IF($E11&lt;&gt;"Serviço","",IF(AUTOEVENTO="Manual",IF(#REF!=0,"&lt;-- defina o número do agrupador",OFFSET([1]EVENTOS!$D$14,#REF!,0)),OFFSET($G$10,#REF!,0)))</f>
        <v/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92"/>
    </row>
    <row r="12" spans="1:23" x14ac:dyDescent="0.25">
      <c r="A12" s="90"/>
      <c r="B12" s="79" t="s">
        <v>56</v>
      </c>
      <c r="C12" s="74" t="s">
        <v>83</v>
      </c>
      <c r="D12" s="85" t="s">
        <v>57</v>
      </c>
      <c r="E12" s="75" t="str">
        <f ca="1">IF($E12&lt;&gt;"Serviço","",OFFSET([1]ORÇAMENTO!P$15,ROW(E12)-ROW(E$10),0))</f>
        <v/>
      </c>
      <c r="F12" s="45">
        <f ca="1">IF($E12&lt;&gt;"Serviço",0,IF(ACOMPANHAMENTO="BM",ROUND(OFFSET([1]ORÇAMENTO!AG$15,ROW(F12)-ROW(F$10),0),15-13*[1]ORÇAMENTO!$AF$7),SUMPRODUCT((#REF!&lt;&gt;"")*ROUND($S12:$W12,15-13*[1]ORÇAMENTO!$AF$7))))</f>
        <v>0</v>
      </c>
      <c r="G12" s="76"/>
      <c r="H12" s="77" t="str">
        <f ca="1">IF($E12&lt;&gt;"Serviço","",IF(AUTOEVENTO="Manual",IF(#REF!=0,"&lt;-- defina o número do agrupador",OFFSET([1]EVENTOS!$D$14,#REF!,0)),OFFSET($G$10,#REF!,0)))</f>
        <v/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92"/>
    </row>
    <row r="13" spans="1:23" ht="105" x14ac:dyDescent="0.25">
      <c r="A13" s="90"/>
      <c r="B13" s="86" t="s">
        <v>55</v>
      </c>
      <c r="C13" s="68" t="s">
        <v>84</v>
      </c>
      <c r="D13" s="112" t="s">
        <v>67</v>
      </c>
      <c r="E13" s="69" t="str">
        <f>ORÇAMENTO!F14</f>
        <v>UNI</v>
      </c>
      <c r="F13" s="51">
        <f>SUM(I13:Q13)</f>
        <v>1</v>
      </c>
      <c r="G13" s="70" t="s">
        <v>63</v>
      </c>
      <c r="H13" s="71" t="str">
        <f ca="1">IF($E13&lt;&gt;"Serviço","",IF(AUTOEVENTO="Manual",IF(#REF!=0,"&lt;-- defina o número do agrupador",OFFSET([1]EVENTOS!$D$14,#REF!,0)),OFFSET($G$10,#REF!,0)))</f>
        <v/>
      </c>
      <c r="I13" s="72">
        <v>1</v>
      </c>
      <c r="J13" s="72"/>
      <c r="K13" s="72"/>
      <c r="L13" s="72"/>
      <c r="M13" s="72"/>
      <c r="N13" s="72"/>
      <c r="O13" s="72"/>
      <c r="P13" s="72"/>
      <c r="Q13" s="72"/>
      <c r="R13" s="72"/>
      <c r="S13" s="92"/>
      <c r="V13" s="80">
        <f>ORÇAMENTO!I14</f>
        <v>1588.58</v>
      </c>
      <c r="W13" s="137"/>
    </row>
    <row r="14" spans="1:23" x14ac:dyDescent="0.25">
      <c r="A14" s="90"/>
      <c r="B14" s="79" t="s">
        <v>56</v>
      </c>
      <c r="C14" s="74" t="s">
        <v>85</v>
      </c>
      <c r="D14" s="85" t="str">
        <f>ORÇAMENTO!E15</f>
        <v>INSTALAÇÕES GERAIS</v>
      </c>
      <c r="E14" s="75" t="str">
        <f ca="1">IF($E14&lt;&gt;"Serviço","",OFFSET([1]ORÇAMENTO!P$15,ROW(E14)-ROW(E$10),0))</f>
        <v/>
      </c>
      <c r="F14" s="45">
        <v>0</v>
      </c>
      <c r="G14" s="76"/>
      <c r="H14" s="77" t="str">
        <f ca="1">IF($E14&lt;&gt;"Serviço","",IF(AUTOEVENTO="Manual",IF(#REF!=0,"&lt;-- defina o número do agrupador",OFFSET([1]EVENTOS!$D$14,#REF!,0)),OFFSET($G$10,#REF!,0)))</f>
        <v/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92"/>
      <c r="V14" s="80" t="str">
        <f>ORÇAMENTO!I15</f>
        <v>-</v>
      </c>
      <c r="W14" s="137"/>
    </row>
    <row r="15" spans="1:23" ht="45" x14ac:dyDescent="0.25">
      <c r="A15" s="90"/>
      <c r="B15" s="86" t="s">
        <v>55</v>
      </c>
      <c r="C15" s="68" t="s">
        <v>117</v>
      </c>
      <c r="D15" s="87" t="str">
        <f>ORÇAMENTO!E16</f>
        <v>POSTES EXISTENTE A RETIRAR</v>
      </c>
      <c r="E15" s="69" t="str">
        <f>ORÇAMENTO!F16</f>
        <v>UNI</v>
      </c>
      <c r="F15" s="51">
        <f>SUM(I15:R15)</f>
        <v>4</v>
      </c>
      <c r="G15" s="70" t="s">
        <v>162</v>
      </c>
      <c r="H15" s="71" t="str">
        <f ca="1">IF($E15&lt;&gt;"Serviço","",IF(AUTOEVENTO="Manual",IF(#REF!=0,"&lt;-- defina o número do agrupador",OFFSET([1]EVENTOS!$D$14,#REF!,0)),OFFSET($G$10,#REF!,0)))</f>
        <v/>
      </c>
      <c r="I15" s="72">
        <v>1</v>
      </c>
      <c r="J15" s="72"/>
      <c r="K15" s="72"/>
      <c r="L15" s="72"/>
      <c r="M15" s="72">
        <v>1</v>
      </c>
      <c r="N15" s="72"/>
      <c r="O15" s="72"/>
      <c r="P15" s="72">
        <v>1</v>
      </c>
      <c r="Q15" s="72">
        <v>1</v>
      </c>
      <c r="R15" s="72"/>
      <c r="S15" s="92"/>
      <c r="U15" s="51">
        <v>4</v>
      </c>
      <c r="V15" s="80">
        <f>ORÇAMENTO!I16</f>
        <v>2521.21</v>
      </c>
      <c r="W15" s="137"/>
    </row>
    <row r="16" spans="1:23" ht="75" x14ac:dyDescent="0.25">
      <c r="A16" s="90"/>
      <c r="B16" s="86" t="s">
        <v>55</v>
      </c>
      <c r="C16" s="68" t="s">
        <v>118</v>
      </c>
      <c r="D16" s="87" t="str">
        <f>ORÇAMENTO!E17</f>
        <v>DERIVAÇÃO EM POSTES EXISTENTES</v>
      </c>
      <c r="E16" s="69" t="str">
        <f>ORÇAMENTO!F17</f>
        <v>UNI</v>
      </c>
      <c r="F16" s="51">
        <f t="shared" ref="F16:F28" si="1">SUM(I16:R16)</f>
        <v>9</v>
      </c>
      <c r="G16" s="70" t="s">
        <v>163</v>
      </c>
      <c r="H16" s="71"/>
      <c r="I16" s="72">
        <v>1</v>
      </c>
      <c r="J16" s="72">
        <v>1</v>
      </c>
      <c r="K16" s="72">
        <v>1</v>
      </c>
      <c r="L16" s="72">
        <v>1</v>
      </c>
      <c r="M16" s="72"/>
      <c r="N16" s="72">
        <v>1</v>
      </c>
      <c r="O16" s="72">
        <v>1</v>
      </c>
      <c r="P16" s="72"/>
      <c r="Q16" s="72">
        <v>3</v>
      </c>
      <c r="R16" s="72"/>
      <c r="S16" s="92"/>
      <c r="U16" s="51">
        <v>9</v>
      </c>
      <c r="V16" s="80">
        <f>ORÇAMENTO!I17</f>
        <v>2672</v>
      </c>
      <c r="W16" s="137"/>
    </row>
    <row r="17" spans="1:23" ht="105" x14ac:dyDescent="0.25">
      <c r="A17" s="90"/>
      <c r="B17" s="86" t="s">
        <v>55</v>
      </c>
      <c r="C17" s="68" t="s">
        <v>119</v>
      </c>
      <c r="D17" s="87" t="str">
        <f>ORÇAMENTO!E18</f>
        <v>POSTE DE CONCRETO CIRCULAR A INSTALAR DE 11 OU 12M E  300/600DAN. (COM FORNECIMENTO MATERIAL)</v>
      </c>
      <c r="E17" s="69" t="str">
        <f>ORÇAMENTO!F18</f>
        <v>UNI</v>
      </c>
      <c r="F17" s="51">
        <f t="shared" si="1"/>
        <v>34</v>
      </c>
      <c r="G17" s="70" t="s">
        <v>164</v>
      </c>
      <c r="H17" s="71"/>
      <c r="I17" s="72">
        <v>3</v>
      </c>
      <c r="J17" s="72">
        <v>2</v>
      </c>
      <c r="K17" s="72">
        <v>4</v>
      </c>
      <c r="L17" s="72">
        <v>2</v>
      </c>
      <c r="M17" s="72">
        <v>3</v>
      </c>
      <c r="N17" s="72">
        <v>3</v>
      </c>
      <c r="O17" s="72">
        <v>3</v>
      </c>
      <c r="P17" s="72">
        <v>11</v>
      </c>
      <c r="Q17" s="72">
        <v>3</v>
      </c>
      <c r="R17" s="72"/>
      <c r="S17" s="92"/>
      <c r="U17" s="51">
        <v>34</v>
      </c>
      <c r="V17" s="80">
        <f>ORÇAMENTO!I18</f>
        <v>6174.6</v>
      </c>
      <c r="W17" s="137"/>
    </row>
    <row r="18" spans="1:23" ht="82.5" customHeight="1" x14ac:dyDescent="0.25">
      <c r="A18" s="90"/>
      <c r="B18" s="86" t="s">
        <v>55</v>
      </c>
      <c r="C18" s="68" t="s">
        <v>120</v>
      </c>
      <c r="D18" s="87" t="str">
        <f>ORÇAMENTO!E19</f>
        <v>LANÇAMENTO DE REDE PRIMARIA MONOFASICA A INSTALAR CABO 1#50+9,5-7,96KV (COM FORNECIMENTO MATERIAL)</v>
      </c>
      <c r="E18" s="69" t="str">
        <f>ORÇAMENTO!F19</f>
        <v>M</v>
      </c>
      <c r="F18" s="51">
        <f t="shared" si="1"/>
        <v>655.60000000000014</v>
      </c>
      <c r="G18" s="70" t="s">
        <v>165</v>
      </c>
      <c r="H18" s="71"/>
      <c r="I18" s="72">
        <f>(45+40+38)*1.1</f>
        <v>135.30000000000001</v>
      </c>
      <c r="J18" s="72"/>
      <c r="K18" s="72"/>
      <c r="L18" s="72"/>
      <c r="M18" s="72"/>
      <c r="N18" s="72"/>
      <c r="O18" s="72"/>
      <c r="P18" s="72">
        <f>(28+42+42+200)*1.1</f>
        <v>343.20000000000005</v>
      </c>
      <c r="Q18" s="72">
        <f>(31+29+31+70)*1.1</f>
        <v>177.10000000000002</v>
      </c>
      <c r="R18" s="72"/>
      <c r="S18" s="92"/>
      <c r="U18" s="51">
        <v>656</v>
      </c>
      <c r="V18" s="80">
        <f>ORÇAMENTO!I19</f>
        <v>14.4</v>
      </c>
      <c r="W18" s="137"/>
    </row>
    <row r="19" spans="1:23" ht="72" customHeight="1" x14ac:dyDescent="0.25">
      <c r="A19" s="90"/>
      <c r="B19" s="86" t="s">
        <v>55</v>
      </c>
      <c r="C19" s="68" t="s">
        <v>121</v>
      </c>
      <c r="D19" s="87" t="str">
        <f>ORÇAMENTO!E20</f>
        <v>LANÇAMENTO DE REDE PRIMARIA TRIFASICA A INSTALAR CABO 3#50+9,5-13,8KV(COM FORNECIMENTO MATERIAL)</v>
      </c>
      <c r="E19" s="69" t="str">
        <f>ORÇAMENTO!F20</f>
        <v>M</v>
      </c>
      <c r="F19" s="51">
        <f t="shared" si="1"/>
        <v>220</v>
      </c>
      <c r="G19" s="70" t="s">
        <v>166</v>
      </c>
      <c r="H19" s="71"/>
      <c r="I19" s="72"/>
      <c r="J19" s="72"/>
      <c r="K19" s="72"/>
      <c r="L19" s="72"/>
      <c r="M19" s="72">
        <f>(40+40)*1.1</f>
        <v>88</v>
      </c>
      <c r="N19" s="72">
        <f>(40+40+40)*1.1</f>
        <v>132</v>
      </c>
      <c r="O19" s="72"/>
      <c r="P19" s="72"/>
      <c r="Q19" s="72"/>
      <c r="R19" s="72"/>
      <c r="S19" s="92"/>
      <c r="U19" s="51">
        <v>220</v>
      </c>
      <c r="V19" s="80">
        <f>ORÇAMENTO!I20</f>
        <v>37.229999999999997</v>
      </c>
      <c r="W19" s="137"/>
    </row>
    <row r="20" spans="1:23" ht="45" customHeight="1" x14ac:dyDescent="0.25">
      <c r="A20" s="90"/>
      <c r="B20" s="86" t="s">
        <v>55</v>
      </c>
      <c r="C20" s="68" t="s">
        <v>122</v>
      </c>
      <c r="D20" s="87" t="str">
        <f>ORÇAMENTO!E21</f>
        <v>LANÇAMENTO DE REDE SECUNDARIA BIFASICA COM CABO 2X1X70+X70 (COM FORNECIMENTO MATERIAL)</v>
      </c>
      <c r="E20" s="69" t="str">
        <f>ORÇAMENTO!F21</f>
        <v>M</v>
      </c>
      <c r="F20" s="51">
        <f t="shared" si="1"/>
        <v>594</v>
      </c>
      <c r="G20" s="70" t="s">
        <v>167</v>
      </c>
      <c r="H20" s="71"/>
      <c r="I20" s="72">
        <f>(40+38)*1.1</f>
        <v>85.800000000000011</v>
      </c>
      <c r="J20" s="72"/>
      <c r="K20" s="72"/>
      <c r="L20" s="72"/>
      <c r="M20" s="72"/>
      <c r="N20" s="72"/>
      <c r="O20" s="72"/>
      <c r="P20" s="72">
        <f>(42+42+28+(7*40))*1.1</f>
        <v>431.20000000000005</v>
      </c>
      <c r="Q20" s="72">
        <f>(35+35)*1.1</f>
        <v>77</v>
      </c>
      <c r="R20" s="72"/>
      <c r="S20" s="92"/>
      <c r="U20" s="51">
        <v>594</v>
      </c>
      <c r="V20" s="80">
        <f>ORÇAMENTO!I21</f>
        <v>46.69</v>
      </c>
      <c r="W20" s="137"/>
    </row>
    <row r="21" spans="1:23" ht="111.75" customHeight="1" x14ac:dyDescent="0.25">
      <c r="A21" s="90"/>
      <c r="B21" s="86" t="s">
        <v>55</v>
      </c>
      <c r="C21" s="68" t="s">
        <v>123</v>
      </c>
      <c r="D21" s="87" t="str">
        <f>ORÇAMENTO!E22</f>
        <v>LANÇAMENTO DE REDE SECUNDARIA TRIFASICA COM CABO 3X1X70+X70 (COM FORNECIMENTO MATERIAL)</v>
      </c>
      <c r="E21" s="69" t="str">
        <f>ORÇAMENTO!F22</f>
        <v>M</v>
      </c>
      <c r="F21" s="51">
        <f t="shared" si="1"/>
        <v>665.5</v>
      </c>
      <c r="G21" s="70" t="s">
        <v>168</v>
      </c>
      <c r="H21" s="71"/>
      <c r="I21" s="72"/>
      <c r="J21" s="72">
        <f>(40+40)*1.1</f>
        <v>88</v>
      </c>
      <c r="K21" s="72">
        <f>(38+38+42+20)*1.1</f>
        <v>151.80000000000001</v>
      </c>
      <c r="L21" s="72">
        <f>(40+40)*1.1</f>
        <v>88</v>
      </c>
      <c r="M21" s="72">
        <f>(40+40)*1.1</f>
        <v>88</v>
      </c>
      <c r="N21" s="72">
        <f>(40+40+40)*1.1</f>
        <v>132</v>
      </c>
      <c r="O21" s="72">
        <f>(44+32+31)*1.1</f>
        <v>117.7</v>
      </c>
      <c r="P21" s="72"/>
      <c r="Q21" s="72"/>
      <c r="R21" s="72"/>
      <c r="S21" s="92"/>
      <c r="U21" s="51">
        <v>667</v>
      </c>
      <c r="V21" s="80">
        <f>ORÇAMENTO!I22</f>
        <v>59.73</v>
      </c>
      <c r="W21" s="137"/>
    </row>
    <row r="22" spans="1:23" ht="140.25" customHeight="1" x14ac:dyDescent="0.25">
      <c r="A22" s="90"/>
      <c r="B22" s="86" t="s">
        <v>55</v>
      </c>
      <c r="C22" s="68" t="s">
        <v>124</v>
      </c>
      <c r="D22" s="87" t="str">
        <f>ORÇAMENTO!E23</f>
        <v>INSTALAÇÃO DE BRAÇO MEDIO PARA IP (COM FORNECIMENTO MATERIAL)</v>
      </c>
      <c r="E22" s="69" t="str">
        <f>ORÇAMENTO!F23</f>
        <v>UNI</v>
      </c>
      <c r="F22" s="51">
        <f t="shared" si="1"/>
        <v>34</v>
      </c>
      <c r="G22" s="70" t="s">
        <v>172</v>
      </c>
      <c r="H22" s="71"/>
      <c r="I22" s="72">
        <v>3</v>
      </c>
      <c r="J22" s="72">
        <v>2</v>
      </c>
      <c r="K22" s="72">
        <v>5</v>
      </c>
      <c r="L22" s="72">
        <v>2</v>
      </c>
      <c r="M22" s="72">
        <v>3</v>
      </c>
      <c r="N22" s="72">
        <v>3</v>
      </c>
      <c r="O22" s="72">
        <v>3</v>
      </c>
      <c r="P22" s="72">
        <v>11</v>
      </c>
      <c r="Q22" s="72">
        <v>2</v>
      </c>
      <c r="R22" s="72"/>
      <c r="S22" s="92"/>
      <c r="U22" s="51">
        <v>34</v>
      </c>
      <c r="V22" s="80">
        <f>ORÇAMENTO!I23</f>
        <v>320.14</v>
      </c>
      <c r="W22" s="137"/>
    </row>
    <row r="23" spans="1:23" ht="138" customHeight="1" x14ac:dyDescent="0.25">
      <c r="A23" s="90"/>
      <c r="B23" s="86" t="s">
        <v>55</v>
      </c>
      <c r="C23" s="68" t="s">
        <v>125</v>
      </c>
      <c r="D23" s="87" t="str">
        <f>ORÇAMENTO!E24</f>
        <v>INSTALAÇÃO DE LUMINARIA LED 150W COM RELÉ FOTOLETRICO (COM FORNECIMENTO MATERIAL)</v>
      </c>
      <c r="E23" s="69" t="str">
        <f>ORÇAMENTO!F24</f>
        <v>UNI</v>
      </c>
      <c r="F23" s="51">
        <f t="shared" si="1"/>
        <v>34</v>
      </c>
      <c r="G23" s="70" t="s">
        <v>172</v>
      </c>
      <c r="H23" s="71"/>
      <c r="I23" s="72">
        <v>3</v>
      </c>
      <c r="J23" s="72">
        <v>2</v>
      </c>
      <c r="K23" s="72">
        <v>5</v>
      </c>
      <c r="L23" s="72">
        <v>2</v>
      </c>
      <c r="M23" s="72">
        <v>3</v>
      </c>
      <c r="N23" s="72">
        <v>3</v>
      </c>
      <c r="O23" s="72">
        <v>3</v>
      </c>
      <c r="P23" s="72">
        <v>11</v>
      </c>
      <c r="Q23" s="72">
        <v>2</v>
      </c>
      <c r="R23" s="72"/>
      <c r="S23" s="92"/>
      <c r="U23" s="51">
        <v>34</v>
      </c>
      <c r="V23" s="80">
        <f>ORÇAMENTO!I24</f>
        <v>935.19</v>
      </c>
      <c r="W23" s="137"/>
    </row>
    <row r="24" spans="1:23" ht="151.5" customHeight="1" x14ac:dyDescent="0.25">
      <c r="A24" s="90"/>
      <c r="B24" s="86" t="s">
        <v>55</v>
      </c>
      <c r="C24" s="68" t="s">
        <v>126</v>
      </c>
      <c r="D24" s="87" t="str">
        <f>ORÇAMENTO!E25</f>
        <v>INSTALAÇÃO DE ESTRUTURAS DE BAIXA TENSÃO E CONEXÕES (COM FORNECIMENTO MATERIAL)</v>
      </c>
      <c r="E24" s="69" t="str">
        <f>ORÇAMENTO!F25</f>
        <v>CONJUNTO</v>
      </c>
      <c r="F24" s="51">
        <f t="shared" si="1"/>
        <v>27</v>
      </c>
      <c r="G24" s="70" t="s">
        <v>171</v>
      </c>
      <c r="H24" s="71"/>
      <c r="I24" s="72">
        <v>2</v>
      </c>
      <c r="J24" s="72">
        <v>2</v>
      </c>
      <c r="K24" s="72">
        <v>4</v>
      </c>
      <c r="L24" s="72">
        <v>2</v>
      </c>
      <c r="M24" s="72">
        <v>2</v>
      </c>
      <c r="N24" s="72">
        <v>3</v>
      </c>
      <c r="O24" s="72">
        <v>3</v>
      </c>
      <c r="P24" s="72">
        <v>7</v>
      </c>
      <c r="Q24" s="72">
        <v>2</v>
      </c>
      <c r="R24" s="72"/>
      <c r="S24" s="92"/>
      <c r="U24" s="51">
        <v>27</v>
      </c>
      <c r="V24" s="80">
        <f>ORÇAMENTO!I25</f>
        <v>361</v>
      </c>
      <c r="W24" s="137"/>
    </row>
    <row r="25" spans="1:23" ht="79.5" customHeight="1" x14ac:dyDescent="0.25">
      <c r="A25" s="90"/>
      <c r="B25" s="86" t="s">
        <v>55</v>
      </c>
      <c r="C25" s="68" t="s">
        <v>127</v>
      </c>
      <c r="D25" s="87" t="str">
        <f>ORÇAMENTO!E26</f>
        <v>INSTALAÇÃO DE ESTRUTURAS DE MÉDIA TENSÃO E CONEXÕES (COM FORNECIMENTO MATERIAL)</v>
      </c>
      <c r="E25" s="69" t="str">
        <f>ORÇAMENTO!F26</f>
        <v>CONJUNTO</v>
      </c>
      <c r="F25" s="51">
        <f t="shared" si="1"/>
        <v>19</v>
      </c>
      <c r="G25" s="70" t="s">
        <v>170</v>
      </c>
      <c r="H25" s="71"/>
      <c r="I25" s="72">
        <v>4</v>
      </c>
      <c r="J25" s="72"/>
      <c r="K25" s="72"/>
      <c r="L25" s="72"/>
      <c r="M25" s="72">
        <v>3</v>
      </c>
      <c r="N25" s="72">
        <v>4</v>
      </c>
      <c r="O25" s="72"/>
      <c r="P25" s="72">
        <v>2</v>
      </c>
      <c r="Q25" s="72">
        <v>6</v>
      </c>
      <c r="R25" s="72"/>
      <c r="S25" s="92"/>
      <c r="U25" s="51">
        <v>19</v>
      </c>
      <c r="V25" s="80">
        <f>ORÇAMENTO!I26</f>
        <v>670.19</v>
      </c>
      <c r="W25" s="137"/>
    </row>
    <row r="26" spans="1:23" ht="45" customHeight="1" x14ac:dyDescent="0.25">
      <c r="A26" s="90"/>
      <c r="B26" s="86" t="s">
        <v>55</v>
      </c>
      <c r="C26" s="68" t="s">
        <v>128</v>
      </c>
      <c r="D26" s="87" t="str">
        <f>ORÇAMENTO!E27</f>
        <v>INSTALAÇÃO DE TRANFORMADOR MONOFASICO DE 25KVA E ACESSORIOS. (COM FORNECIMENTO MATERIAL)</v>
      </c>
      <c r="E26" s="69" t="str">
        <f>ORÇAMENTO!F27</f>
        <v>CONJUNTO</v>
      </c>
      <c r="F26" s="51">
        <f t="shared" si="1"/>
        <v>1</v>
      </c>
      <c r="G26" s="70" t="s">
        <v>169</v>
      </c>
      <c r="H26" s="71"/>
      <c r="I26" s="72">
        <v>1</v>
      </c>
      <c r="J26" s="72"/>
      <c r="K26" s="72"/>
      <c r="L26" s="72"/>
      <c r="M26" s="72"/>
      <c r="N26" s="72"/>
      <c r="O26" s="72"/>
      <c r="P26" s="72"/>
      <c r="Q26" s="72"/>
      <c r="R26" s="72"/>
      <c r="S26" s="92"/>
      <c r="U26" s="51">
        <v>1</v>
      </c>
      <c r="V26" s="80">
        <f>ORÇAMENTO!I27</f>
        <v>14263.66</v>
      </c>
      <c r="W26" s="137"/>
    </row>
    <row r="27" spans="1:23" ht="45" x14ac:dyDescent="0.25">
      <c r="A27" s="90"/>
      <c r="B27" s="86" t="s">
        <v>55</v>
      </c>
      <c r="C27" s="68" t="s">
        <v>129</v>
      </c>
      <c r="D27" s="87" t="str">
        <f>ORÇAMENTO!E28</f>
        <v>INSTALAÇÃO DE TRANFORMADOR MONOFASICO DE 37,5KVA E ACESSORIOS. (COM FORNECIMENTO MATERIAL)</v>
      </c>
      <c r="E27" s="69" t="str">
        <f>ORÇAMENTO!F28</f>
        <v>CONJUNTO</v>
      </c>
      <c r="F27" s="51">
        <f t="shared" si="1"/>
        <v>3</v>
      </c>
      <c r="G27" s="70" t="s">
        <v>173</v>
      </c>
      <c r="H27" s="71" t="str">
        <f ca="1">IF($E27&lt;&gt;"Serviço","",IF(AUTOEVENTO="Manual",IF(#REF!=0,"&lt;-- defina o número do agrupador",OFFSET([1]EVENTOS!$D$14,#REF!,0)),OFFSET($G$10,#REF!,0)))</f>
        <v/>
      </c>
      <c r="I27" s="72"/>
      <c r="J27" s="72"/>
      <c r="K27" s="72"/>
      <c r="L27" s="72"/>
      <c r="M27" s="72"/>
      <c r="N27" s="72"/>
      <c r="O27" s="72"/>
      <c r="P27" s="72">
        <v>2</v>
      </c>
      <c r="Q27" s="72">
        <v>1</v>
      </c>
      <c r="R27" s="72"/>
      <c r="S27" s="92"/>
      <c r="U27" s="51">
        <v>3</v>
      </c>
      <c r="V27" s="80">
        <f>ORÇAMENTO!I28</f>
        <v>20451.84</v>
      </c>
      <c r="W27" s="137"/>
    </row>
    <row r="28" spans="1:23" ht="45" x14ac:dyDescent="0.25">
      <c r="A28" s="90"/>
      <c r="B28" s="86" t="s">
        <v>55</v>
      </c>
      <c r="C28" s="68" t="s">
        <v>130</v>
      </c>
      <c r="D28" s="87" t="str">
        <f>ORÇAMENTO!E29</f>
        <v>INSTALAÇÃO DE TRANFORMADOR TRIFASICO DE 45KVA E ACESSORIOS. (COM FORNECIMENTO MATERIAL)</v>
      </c>
      <c r="E28" s="69" t="str">
        <f>ORÇAMENTO!F29</f>
        <v>CONJUNTO</v>
      </c>
      <c r="F28" s="51">
        <f t="shared" si="1"/>
        <v>3</v>
      </c>
      <c r="G28" s="70" t="s">
        <v>174</v>
      </c>
      <c r="H28" s="71" t="str">
        <f ca="1">IF($E28&lt;&gt;"Serviço","",IF(AUTOEVENTO="Manual",IF(#REF!=0,"&lt;-- defina o número do agrupador",OFFSET([1]EVENTOS!$D$14,#REF!,0)),OFFSET($G$10,#REF!,0)))</f>
        <v/>
      </c>
      <c r="I28" s="72"/>
      <c r="J28" s="72"/>
      <c r="K28" s="72"/>
      <c r="L28" s="72"/>
      <c r="M28" s="72">
        <v>1</v>
      </c>
      <c r="N28" s="72">
        <v>1</v>
      </c>
      <c r="O28" s="72"/>
      <c r="P28" s="72"/>
      <c r="Q28" s="72"/>
      <c r="R28" s="72">
        <v>1</v>
      </c>
      <c r="S28" s="92"/>
      <c r="U28" s="51">
        <v>2</v>
      </c>
      <c r="V28" s="80">
        <f>ORÇAMENTO!I29</f>
        <v>23806.43</v>
      </c>
      <c r="W28" s="137"/>
    </row>
    <row r="29" spans="1:23" x14ac:dyDescent="0.25">
      <c r="A29" s="90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92"/>
    </row>
    <row r="30" spans="1:23" x14ac:dyDescent="0.25">
      <c r="A30" s="9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92"/>
    </row>
    <row r="31" spans="1:23" x14ac:dyDescent="0.25">
      <c r="A31" s="9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92"/>
    </row>
    <row r="32" spans="1:23" x14ac:dyDescent="0.25">
      <c r="A32" s="9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92"/>
    </row>
    <row r="33" spans="1:21" x14ac:dyDescent="0.25">
      <c r="A33" s="9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92"/>
    </row>
    <row r="34" spans="1:21" x14ac:dyDescent="0.25">
      <c r="A34" s="90"/>
      <c r="B34" s="226" t="str">
        <f>CRONOGRAMA!B19</f>
        <v>São João da Lagoa - MG</v>
      </c>
      <c r="C34" s="226"/>
      <c r="D34" s="226"/>
      <c r="E34" s="81"/>
      <c r="F34" s="81"/>
      <c r="G34" s="81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139"/>
      <c r="S34" s="92"/>
      <c r="U34" s="133">
        <f>U24+U25</f>
        <v>46</v>
      </c>
    </row>
    <row r="35" spans="1:21" x14ac:dyDescent="0.25">
      <c r="A35" s="90"/>
      <c r="B35" s="221" t="s">
        <v>25</v>
      </c>
      <c r="C35" s="221"/>
      <c r="D35" s="221"/>
      <c r="E35" s="81"/>
      <c r="F35" s="81"/>
      <c r="G35" s="81"/>
      <c r="H35" s="58" t="s">
        <v>27</v>
      </c>
      <c r="I35" s="58"/>
      <c r="J35" s="117"/>
      <c r="K35" s="117"/>
      <c r="L35" s="117"/>
      <c r="M35" s="117"/>
      <c r="N35" s="117"/>
      <c r="O35" s="117"/>
      <c r="P35" s="117"/>
      <c r="Q35" s="117"/>
      <c r="R35" s="117"/>
      <c r="S35" s="92"/>
    </row>
    <row r="36" spans="1:21" x14ac:dyDescent="0.2">
      <c r="A36" s="90"/>
      <c r="B36" s="219"/>
      <c r="C36" s="219"/>
      <c r="D36" s="219"/>
      <c r="E36" s="81"/>
      <c r="F36" s="81"/>
      <c r="G36" s="81"/>
      <c r="H36" s="15" t="s">
        <v>28</v>
      </c>
      <c r="I36" s="161" t="str">
        <f>CRONOGRAMA!G21</f>
        <v>BRENO DENILSON ANDRADE REIS</v>
      </c>
      <c r="J36" s="161"/>
      <c r="K36" s="161"/>
      <c r="L36" s="161"/>
      <c r="M36" s="161"/>
      <c r="N36" s="161"/>
      <c r="O36" s="161"/>
      <c r="P36" s="161"/>
      <c r="Q36" s="161"/>
      <c r="R36" s="120"/>
      <c r="S36" s="92"/>
    </row>
    <row r="37" spans="1:21" x14ac:dyDescent="0.2">
      <c r="A37" s="90"/>
      <c r="B37" s="220" t="str">
        <f>CRONOGRAMA!B22</f>
        <v>sexta-feira, 17 de Junho de 2026</v>
      </c>
      <c r="C37" s="220"/>
      <c r="D37" s="220"/>
      <c r="E37" s="81"/>
      <c r="F37" s="81"/>
      <c r="G37" s="81"/>
      <c r="H37" s="15" t="s">
        <v>29</v>
      </c>
      <c r="I37" s="161" t="str">
        <f>CRONOGRAMA!G22</f>
        <v>143454 / D</v>
      </c>
      <c r="J37" s="161"/>
      <c r="K37" s="161"/>
      <c r="L37" s="161"/>
      <c r="M37" s="161"/>
      <c r="N37" s="161"/>
      <c r="O37" s="161"/>
      <c r="P37" s="161"/>
      <c r="Q37" s="161"/>
      <c r="R37" s="120"/>
      <c r="S37" s="92"/>
    </row>
    <row r="38" spans="1:21" x14ac:dyDescent="0.2">
      <c r="A38" s="90"/>
      <c r="B38" s="221" t="s">
        <v>26</v>
      </c>
      <c r="C38" s="221"/>
      <c r="D38" s="221"/>
      <c r="E38" s="81"/>
      <c r="F38" s="81"/>
      <c r="H38" s="15" t="s">
        <v>30</v>
      </c>
      <c r="I38" s="161" t="str">
        <f>CRONOGRAMA!G23</f>
        <v>MG20265043644</v>
      </c>
      <c r="J38" s="161"/>
      <c r="K38" s="161"/>
      <c r="L38" s="161"/>
      <c r="M38" s="161"/>
      <c r="N38" s="161"/>
      <c r="O38" s="161"/>
      <c r="P38" s="161"/>
      <c r="Q38" s="161"/>
      <c r="R38" s="120"/>
      <c r="S38" s="92"/>
    </row>
    <row r="39" spans="1:21" x14ac:dyDescent="0.25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5"/>
    </row>
  </sheetData>
  <mergeCells count="17">
    <mergeCell ref="B2:Q2"/>
    <mergeCell ref="B3:Q3"/>
    <mergeCell ref="C10:G10"/>
    <mergeCell ref="B6:D6"/>
    <mergeCell ref="H34:Q34"/>
    <mergeCell ref="B34:D34"/>
    <mergeCell ref="B5:D5"/>
    <mergeCell ref="E5:Q5"/>
    <mergeCell ref="E6:Q6"/>
    <mergeCell ref="B29:R29"/>
    <mergeCell ref="B36:D36"/>
    <mergeCell ref="B37:D37"/>
    <mergeCell ref="B38:D38"/>
    <mergeCell ref="B35:D35"/>
    <mergeCell ref="I36:Q36"/>
    <mergeCell ref="I37:Q37"/>
    <mergeCell ref="I38:Q38"/>
  </mergeCells>
  <phoneticPr fontId="14" type="noConversion"/>
  <conditionalFormatting sqref="H9:H28">
    <cfRule type="expression" dxfId="16" priority="47" stopIfTrue="1">
      <formula>OR(#REF!=0,#REF!=2,#REF!=3,#REF!=4)</formula>
    </cfRule>
    <cfRule type="expression" dxfId="15" priority="48" stopIfTrue="1">
      <formula>#REF!=1</formula>
    </cfRule>
  </conditionalFormatting>
  <conditionalFormatting sqref="H9:R28">
    <cfRule type="expression" dxfId="14" priority="46" stopIfTrue="1">
      <formula>ACOMPANHAMENTO="BM"</formula>
    </cfRule>
  </conditionalFormatting>
  <conditionalFormatting sqref="I9:R28">
    <cfRule type="expression" dxfId="13" priority="67" stopIfTrue="1">
      <formula>AND(#REF!&lt;&gt;".",OR(#REF!=0,#REF!=2,#REF!=3,#REF!=4,AND(#REF!="",#REF!&lt;&gt;"Empty"),OFFSET(#REF!,0,-1)=""))</formula>
    </cfRule>
    <cfRule type="expression" dxfId="12" priority="68" stopIfTrue="1">
      <formula>AND(#REF!=1,#REF!&lt;&gt;".")</formula>
    </cfRule>
  </conditionalFormatting>
  <conditionalFormatting sqref="U15:U28">
    <cfRule type="expression" dxfId="11" priority="1" stopIfTrue="1">
      <formula>$B15=1</formula>
    </cfRule>
    <cfRule type="expression" dxfId="10" priority="2" stopIfTrue="1">
      <formula>OR($B15=0,$B15=2,$B15=3,$B15=4)</formula>
    </cfRule>
  </conditionalFormatting>
  <dataValidations xWindow="542" yWindow="674" count="3">
    <dataValidation allowBlank="1" showInputMessage="1" showErrorMessage="1" prompt="A quantidade é digitada nas colunas Q em diante, após preencher o nome das frentes de obra na célula Q12 em diante" sqref="F11:F28" xr:uid="{4B8BADBF-1D78-4CCB-B7D4-4F6F0027C514}"/>
    <dataValidation type="decimal" operator="greaterThan" allowBlank="1" showErrorMessage="1" error="Apenas números decimais maiores que zero." sqref="I11:R28" xr:uid="{E9188EB6-2007-4427-9BBE-81B451B70A7E}">
      <formula1>0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U15:U28" xr:uid="{7E9DA615-4F1B-4FC5-943D-9A6694AC964B}"/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6CC5-7305-4D19-AAA9-5327F9E5DDE1}">
  <dimension ref="A1:O38"/>
  <sheetViews>
    <sheetView topLeftCell="A6" workbookViewId="0">
      <selection activeCell="I25" sqref="I25"/>
    </sheetView>
  </sheetViews>
  <sheetFormatPr defaultRowHeight="15" x14ac:dyDescent="0.25"/>
  <cols>
    <col min="1" max="1" width="0.85546875" customWidth="1"/>
    <col min="2" max="2" width="16" customWidth="1"/>
    <col min="3" max="3" width="15.7109375" customWidth="1"/>
    <col min="4" max="4" width="65.7109375" customWidth="1"/>
    <col min="5" max="5" width="10.7109375" customWidth="1"/>
    <col min="6" max="9" width="14.7109375" customWidth="1"/>
    <col min="10" max="10" width="18" customWidth="1"/>
    <col min="11" max="11" width="1.28515625" customWidth="1"/>
    <col min="13" max="13" width="12.28515625" customWidth="1"/>
    <col min="14" max="14" width="11.42578125" customWidth="1"/>
    <col min="15" max="15" width="11.5703125" customWidth="1"/>
  </cols>
  <sheetData>
    <row r="1" spans="1:15" ht="24" customHeight="1" x14ac:dyDescent="0.25">
      <c r="A1" s="25"/>
      <c r="B1" s="230" t="s">
        <v>136</v>
      </c>
      <c r="C1" s="230"/>
      <c r="D1" s="230"/>
      <c r="E1" s="230"/>
      <c r="F1" s="230"/>
      <c r="G1" s="230"/>
      <c r="H1" s="230"/>
      <c r="I1" s="231"/>
      <c r="J1" s="129" t="s">
        <v>0</v>
      </c>
      <c r="K1" s="27"/>
    </row>
    <row r="2" spans="1:15" x14ac:dyDescent="0.25">
      <c r="A2" s="23"/>
      <c r="B2" s="232"/>
      <c r="C2" s="232"/>
      <c r="D2" s="232"/>
      <c r="E2" s="232"/>
      <c r="F2" s="232"/>
      <c r="G2" s="232"/>
      <c r="H2" s="232"/>
      <c r="I2" s="233"/>
      <c r="J2" s="115" t="s">
        <v>1</v>
      </c>
      <c r="K2" s="20"/>
    </row>
    <row r="3" spans="1:15" x14ac:dyDescent="0.25">
      <c r="A3" s="23"/>
      <c r="B3" s="110"/>
      <c r="C3" s="110"/>
      <c r="D3" s="110"/>
      <c r="E3" s="110"/>
      <c r="F3" s="110"/>
      <c r="G3" s="110"/>
      <c r="H3" s="110"/>
      <c r="I3" s="110"/>
      <c r="J3" s="114"/>
      <c r="K3" s="20"/>
    </row>
    <row r="4" spans="1:15" x14ac:dyDescent="0.25">
      <c r="A4" s="23"/>
      <c r="B4" s="146" t="s">
        <v>2</v>
      </c>
      <c r="C4" s="148"/>
      <c r="D4" s="147" t="s">
        <v>42</v>
      </c>
      <c r="E4" s="147"/>
      <c r="F4" s="147"/>
      <c r="G4" s="147"/>
      <c r="H4" s="147"/>
      <c r="I4" s="147"/>
      <c r="J4" s="151"/>
      <c r="K4" s="20"/>
    </row>
    <row r="5" spans="1:15" ht="30" customHeight="1" x14ac:dyDescent="0.25">
      <c r="A5" s="23"/>
      <c r="B5" s="234" t="str">
        <f>BDI!B6</f>
        <v>PREFEITURA MUNICIPAL DE SÃO JOÃO DA LAGOA</v>
      </c>
      <c r="C5" s="235"/>
      <c r="D5" s="236" t="str">
        <f>ORÇAMENTO!E5</f>
        <v>EXECUÇÃO DE OBRAS DE EXTENSÃO E MODERNIZAÇÃO DA REDE DE ILUINAÇÃO PÚBLICA EM NOVOS TRECHOS DE VIAS URBANAS NA SEDE DO MUNÍCIPIO DE SÃO JOÃO DA LAGOA - MG E DISTRITO DE SÃO ROBERTO DE MINAS</v>
      </c>
      <c r="E5" s="237"/>
      <c r="F5" s="237"/>
      <c r="G5" s="237"/>
      <c r="H5" s="237"/>
      <c r="I5" s="237"/>
      <c r="J5" s="238"/>
      <c r="K5" s="20"/>
    </row>
    <row r="6" spans="1:15" x14ac:dyDescent="0.25">
      <c r="A6" s="23"/>
      <c r="B6" s="61"/>
      <c r="C6" s="62"/>
      <c r="D6" s="62"/>
      <c r="E6" s="61"/>
      <c r="F6" s="61"/>
      <c r="G6" s="61"/>
      <c r="H6" s="61"/>
      <c r="I6" s="61"/>
      <c r="J6" s="61"/>
      <c r="K6" s="20"/>
    </row>
    <row r="7" spans="1:15" ht="15" customHeight="1" x14ac:dyDescent="0.25">
      <c r="A7" s="23"/>
      <c r="B7" s="64" t="s">
        <v>132</v>
      </c>
      <c r="C7" s="63" t="s">
        <v>45</v>
      </c>
      <c r="D7" s="142" t="s">
        <v>42</v>
      </c>
      <c r="E7" s="241"/>
      <c r="F7" s="241"/>
      <c r="G7" s="241"/>
      <c r="H7" s="142" t="s">
        <v>61</v>
      </c>
      <c r="I7" s="143"/>
      <c r="J7" s="64" t="s">
        <v>137</v>
      </c>
      <c r="K7" s="20"/>
    </row>
    <row r="8" spans="1:15" ht="30" customHeight="1" x14ac:dyDescent="0.25">
      <c r="A8" s="23"/>
      <c r="B8" s="66" t="s">
        <v>136</v>
      </c>
      <c r="C8" s="65"/>
      <c r="D8" s="155" t="str">
        <f>D5</f>
        <v>EXECUÇÃO DE OBRAS DE EXTENSÃO E MODERNIZAÇÃO DA REDE DE ILUINAÇÃO PÚBLICA EM NOVOS TRECHOS DE VIAS URBANAS NA SEDE DO MUNÍCIPIO DE SÃO JOÃO DA LAGOA - MG E DISTRITO DE SÃO ROBERTO DE MINAS</v>
      </c>
      <c r="E8" s="156"/>
      <c r="F8" s="156"/>
      <c r="G8" s="156"/>
      <c r="H8" s="239" t="s">
        <v>60</v>
      </c>
      <c r="I8" s="240"/>
      <c r="J8" s="130">
        <f>ORÇAMENTO!J8</f>
        <v>0.32450000000000001</v>
      </c>
      <c r="K8" s="20"/>
    </row>
    <row r="9" spans="1:15" x14ac:dyDescent="0.25">
      <c r="A9" s="23"/>
      <c r="B9" s="167"/>
      <c r="C9" s="168"/>
      <c r="D9" s="168"/>
      <c r="E9" s="168"/>
      <c r="F9" s="168"/>
      <c r="G9" s="168"/>
      <c r="H9" s="168"/>
      <c r="I9" s="168"/>
      <c r="J9" s="169"/>
      <c r="K9" s="20"/>
    </row>
    <row r="10" spans="1:15" ht="25.5" x14ac:dyDescent="0.25">
      <c r="A10" s="23"/>
      <c r="B10" s="31" t="s">
        <v>47</v>
      </c>
      <c r="C10" s="31" t="s">
        <v>49</v>
      </c>
      <c r="D10" s="31" t="s">
        <v>50</v>
      </c>
      <c r="E10" s="32" t="s">
        <v>51</v>
      </c>
      <c r="F10" s="31" t="s">
        <v>52</v>
      </c>
      <c r="G10" s="31" t="s">
        <v>133</v>
      </c>
      <c r="H10" s="31" t="s">
        <v>134</v>
      </c>
      <c r="I10" s="31" t="s">
        <v>135</v>
      </c>
      <c r="J10" s="31" t="s">
        <v>138</v>
      </c>
      <c r="K10" s="20"/>
      <c r="M10" s="31" t="s">
        <v>133</v>
      </c>
      <c r="N10" s="31" t="s">
        <v>134</v>
      </c>
      <c r="O10" s="31" t="s">
        <v>135</v>
      </c>
    </row>
    <row r="11" spans="1:15" x14ac:dyDescent="0.25">
      <c r="A11" s="23"/>
      <c r="B11" s="47" t="str">
        <f ca="1">IF(OR($B11=0,$J11=""),"-",CONCATENATE(#REF!&amp;".",IF(AND(#REF!&gt;=2,$B11&gt;=2),#REF!&amp;".",""),IF(AND(#REF!&gt;=3,$B11&gt;=3),#REF!&amp;".",""),IF(AND(#REF!&gt;=4,$B11&gt;=4),#REF!&amp;".",""),IF($B11="S",#REF!&amp;".","")))</f>
        <v>1.4.1.</v>
      </c>
      <c r="C11" s="49" t="s">
        <v>88</v>
      </c>
      <c r="D11" s="111" t="s">
        <v>102</v>
      </c>
      <c r="E11" s="50" t="s">
        <v>80</v>
      </c>
      <c r="F11" s="51">
        <f>ORÇAMENTO!G16</f>
        <v>4</v>
      </c>
      <c r="G11" s="122">
        <v>2498</v>
      </c>
      <c r="H11" s="122">
        <v>2545.3200000000002</v>
      </c>
      <c r="I11" s="123">
        <v>2520.3000000000002</v>
      </c>
      <c r="J11" s="53">
        <f>ROUND(((SUM(G11:I11))/3),2)</f>
        <v>2521.21</v>
      </c>
      <c r="K11" s="20"/>
      <c r="M11" s="128">
        <f>F11*G11</f>
        <v>9992</v>
      </c>
      <c r="N11" s="128">
        <f t="shared" ref="N11:N24" si="0">F11*H11</f>
        <v>10181.280000000001</v>
      </c>
      <c r="O11" s="128">
        <f>F11*I11</f>
        <v>10081.200000000001</v>
      </c>
    </row>
    <row r="12" spans="1:15" x14ac:dyDescent="0.25">
      <c r="A12" s="23"/>
      <c r="B12" s="47" t="str">
        <f ca="1">IF(OR($B12=0,$J12=""),"-",CONCATENATE(#REF!&amp;".",IF(AND(#REF!&gt;=2,$B12&gt;=2),#REF!&amp;".",""),IF(AND(#REF!&gt;=3,$B12&gt;=3),#REF!&amp;".",""),IF(AND(#REF!&gt;=4,$B12&gt;=4),#REF!&amp;".",""),IF($B12="S",#REF!&amp;".","")))</f>
        <v>1.4.1.</v>
      </c>
      <c r="C12" s="49" t="s">
        <v>89</v>
      </c>
      <c r="D12" s="111" t="s">
        <v>103</v>
      </c>
      <c r="E12" s="50" t="s">
        <v>80</v>
      </c>
      <c r="F12" s="51">
        <f>ORÇAMENTO!G17</f>
        <v>9</v>
      </c>
      <c r="G12" s="122">
        <v>2632</v>
      </c>
      <c r="H12" s="122">
        <v>2700.5</v>
      </c>
      <c r="I12" s="123">
        <v>2683.5</v>
      </c>
      <c r="J12" s="53">
        <f t="shared" ref="J12:J24" si="1">ROUND(((SUM(G12:I12))/3),2)</f>
        <v>2672</v>
      </c>
      <c r="K12" s="20"/>
      <c r="M12" s="128">
        <f t="shared" ref="M12:M24" si="2">F12*G12</f>
        <v>23688</v>
      </c>
      <c r="N12" s="128">
        <f t="shared" si="0"/>
        <v>24304.5</v>
      </c>
      <c r="O12" s="128">
        <f t="shared" ref="O12:O24" si="3">F12*I12</f>
        <v>24151.5</v>
      </c>
    </row>
    <row r="13" spans="1:15" ht="30" x14ac:dyDescent="0.25">
      <c r="A13" s="23"/>
      <c r="B13" s="47" t="str">
        <f ca="1">IF(OR($B13=0,$J13=""),"-",CONCATENATE(#REF!&amp;".",IF(AND(#REF!&gt;=2,$B13&gt;=2),#REF!&amp;".",""),IF(AND(#REF!&gt;=3,$B13&gt;=3),#REF!&amp;".",""),IF(AND(#REF!&gt;=4,$B13&gt;=4),#REF!&amp;".",""),IF($B13="S",#REF!&amp;".","")))</f>
        <v>1.4.1.</v>
      </c>
      <c r="C13" s="49" t="s">
        <v>90</v>
      </c>
      <c r="D13" s="111" t="s">
        <v>104</v>
      </c>
      <c r="E13" s="50" t="s">
        <v>80</v>
      </c>
      <c r="F13" s="51">
        <f>ORÇAMENTO!G18</f>
        <v>34</v>
      </c>
      <c r="G13" s="122">
        <v>6098</v>
      </c>
      <c r="H13" s="122">
        <v>6300.8</v>
      </c>
      <c r="I13" s="123">
        <v>6125</v>
      </c>
      <c r="J13" s="53">
        <f t="shared" si="1"/>
        <v>6174.6</v>
      </c>
      <c r="K13" s="20"/>
      <c r="M13" s="128">
        <f t="shared" si="2"/>
        <v>207332</v>
      </c>
      <c r="N13" s="128">
        <f t="shared" si="0"/>
        <v>214227.20000000001</v>
      </c>
      <c r="O13" s="128">
        <f t="shared" si="3"/>
        <v>208250</v>
      </c>
    </row>
    <row r="14" spans="1:15" ht="30" x14ac:dyDescent="0.25">
      <c r="A14" s="23"/>
      <c r="B14" s="47" t="str">
        <f ca="1">IF(OR($B14=0,$J14=""),"-",CONCATENATE(#REF!&amp;".",IF(AND(#REF!&gt;=2,$B14&gt;=2),#REF!&amp;".",""),IF(AND(#REF!&gt;=3,$B14&gt;=3),#REF!&amp;".",""),IF(AND(#REF!&gt;=4,$B14&gt;=4),#REF!&amp;".",""),IF($B14="S",#REF!&amp;".","")))</f>
        <v>1.4.1.</v>
      </c>
      <c r="C14" s="49" t="s">
        <v>91</v>
      </c>
      <c r="D14" s="111" t="s">
        <v>105</v>
      </c>
      <c r="E14" s="50" t="s">
        <v>81</v>
      </c>
      <c r="F14" s="51">
        <v>656</v>
      </c>
      <c r="G14" s="122">
        <v>13.2</v>
      </c>
      <c r="H14" s="122">
        <v>15.7</v>
      </c>
      <c r="I14" s="123">
        <v>14.3</v>
      </c>
      <c r="J14" s="53">
        <f t="shared" si="1"/>
        <v>14.4</v>
      </c>
      <c r="K14" s="20"/>
      <c r="M14" s="128">
        <f t="shared" si="2"/>
        <v>8659.1999999999989</v>
      </c>
      <c r="N14" s="128">
        <f t="shared" si="0"/>
        <v>10299.199999999999</v>
      </c>
      <c r="O14" s="128">
        <f t="shared" si="3"/>
        <v>9380.8000000000011</v>
      </c>
    </row>
    <row r="15" spans="1:15" ht="30" x14ac:dyDescent="0.25">
      <c r="A15" s="23"/>
      <c r="B15" s="47" t="str">
        <f ca="1">IF(OR($B15=0,$J15=""),"-",CONCATENATE(#REF!&amp;".",IF(AND(#REF!&gt;=2,$B15&gt;=2),#REF!&amp;".",""),IF(AND(#REF!&gt;=3,$B15&gt;=3),#REF!&amp;".",""),IF(AND(#REF!&gt;=4,$B15&gt;=4),#REF!&amp;".",""),IF($B15="S",#REF!&amp;".","")))</f>
        <v>1.4.1.</v>
      </c>
      <c r="C15" s="49" t="s">
        <v>92</v>
      </c>
      <c r="D15" s="111" t="s">
        <v>106</v>
      </c>
      <c r="E15" s="50" t="s">
        <v>81</v>
      </c>
      <c r="F15" s="51">
        <f>ORÇAMENTO!G20</f>
        <v>220</v>
      </c>
      <c r="G15" s="122">
        <v>35</v>
      </c>
      <c r="H15" s="122">
        <v>39.799999999999997</v>
      </c>
      <c r="I15" s="123">
        <v>36.89</v>
      </c>
      <c r="J15" s="53">
        <f t="shared" si="1"/>
        <v>37.229999999999997</v>
      </c>
      <c r="K15" s="20"/>
      <c r="M15" s="128">
        <f t="shared" si="2"/>
        <v>7700</v>
      </c>
      <c r="N15" s="128">
        <f t="shared" si="0"/>
        <v>8756</v>
      </c>
      <c r="O15" s="128">
        <f t="shared" si="3"/>
        <v>8115.8</v>
      </c>
    </row>
    <row r="16" spans="1:15" ht="30" x14ac:dyDescent="0.25">
      <c r="A16" s="23"/>
      <c r="B16" s="47" t="str">
        <f ca="1">IF(OR($B16=0,$J16=""),"-",CONCATENATE(#REF!&amp;".",IF(AND(#REF!&gt;=2,$B16&gt;=2),#REF!&amp;".",""),IF(AND(#REF!&gt;=3,$B16&gt;=3),#REF!&amp;".",""),IF(AND(#REF!&gt;=4,$B16&gt;=4),#REF!&amp;".",""),IF($B16="S",#REF!&amp;".","")))</f>
        <v>1.4.1.</v>
      </c>
      <c r="C16" s="49" t="s">
        <v>93</v>
      </c>
      <c r="D16" s="111" t="s">
        <v>107</v>
      </c>
      <c r="E16" s="50" t="s">
        <v>81</v>
      </c>
      <c r="F16" s="51">
        <f>ORÇAMENTO!G21</f>
        <v>594</v>
      </c>
      <c r="G16" s="122">
        <v>44.31</v>
      </c>
      <c r="H16" s="122">
        <v>48.9</v>
      </c>
      <c r="I16" s="123">
        <v>46.86</v>
      </c>
      <c r="J16" s="53">
        <f t="shared" si="1"/>
        <v>46.69</v>
      </c>
      <c r="K16" s="20"/>
      <c r="M16" s="128">
        <f t="shared" si="2"/>
        <v>26320.140000000003</v>
      </c>
      <c r="N16" s="128">
        <f t="shared" si="0"/>
        <v>29046.6</v>
      </c>
      <c r="O16" s="128">
        <f t="shared" si="3"/>
        <v>27834.84</v>
      </c>
    </row>
    <row r="17" spans="1:15" ht="30" x14ac:dyDescent="0.25">
      <c r="A17" s="23"/>
      <c r="B17" s="47" t="str">
        <f ca="1">IF(OR($B17=0,$J17=""),"-",CONCATENATE(#REF!&amp;".",IF(AND(#REF!&gt;=2,$B17&gt;=2),#REF!&amp;".",""),IF(AND(#REF!&gt;=3,$B17&gt;=3),#REF!&amp;".",""),IF(AND(#REF!&gt;=4,$B17&gt;=4),#REF!&amp;".",""),IF($B17="S",#REF!&amp;".","")))</f>
        <v>1.4.1.</v>
      </c>
      <c r="C17" s="49" t="s">
        <v>94</v>
      </c>
      <c r="D17" s="111" t="s">
        <v>108</v>
      </c>
      <c r="E17" s="50" t="s">
        <v>81</v>
      </c>
      <c r="F17" s="51">
        <v>667</v>
      </c>
      <c r="G17" s="122">
        <v>58.2</v>
      </c>
      <c r="H17" s="122">
        <v>61.2</v>
      </c>
      <c r="I17" s="123">
        <v>59.78</v>
      </c>
      <c r="J17" s="53">
        <f t="shared" si="1"/>
        <v>59.73</v>
      </c>
      <c r="K17" s="20"/>
      <c r="M17" s="128">
        <f t="shared" si="2"/>
        <v>38819.4</v>
      </c>
      <c r="N17" s="128">
        <f t="shared" si="0"/>
        <v>40820.400000000001</v>
      </c>
      <c r="O17" s="128">
        <f t="shared" si="3"/>
        <v>39873.26</v>
      </c>
    </row>
    <row r="18" spans="1:15" x14ac:dyDescent="0.25">
      <c r="A18" s="23"/>
      <c r="B18" s="47" t="str">
        <f ca="1">IF(OR($B18=0,$J18=""),"-",CONCATENATE(#REF!&amp;".",IF(AND(#REF!&gt;=2,$B18&gt;=2),#REF!&amp;".",""),IF(AND(#REF!&gt;=3,$B18&gt;=3),#REF!&amp;".",""),IF(AND(#REF!&gt;=4,$B18&gt;=4),#REF!&amp;".",""),IF($B18="S",#REF!&amp;".","")))</f>
        <v>1.4.1.</v>
      </c>
      <c r="C18" s="49" t="s">
        <v>95</v>
      </c>
      <c r="D18" s="111" t="s">
        <v>109</v>
      </c>
      <c r="E18" s="50" t="s">
        <v>80</v>
      </c>
      <c r="F18" s="51">
        <f>ORÇAMENTO!G23</f>
        <v>34</v>
      </c>
      <c r="G18" s="122">
        <v>300.2</v>
      </c>
      <c r="H18" s="122">
        <v>350</v>
      </c>
      <c r="I18" s="123">
        <v>310.23</v>
      </c>
      <c r="J18" s="53">
        <f t="shared" si="1"/>
        <v>320.14</v>
      </c>
      <c r="K18" s="20"/>
      <c r="M18" s="128">
        <f t="shared" si="2"/>
        <v>10206.799999999999</v>
      </c>
      <c r="N18" s="128">
        <f t="shared" si="0"/>
        <v>11900</v>
      </c>
      <c r="O18" s="128">
        <f t="shared" si="3"/>
        <v>10547.82</v>
      </c>
    </row>
    <row r="19" spans="1:15" ht="30" x14ac:dyDescent="0.25">
      <c r="A19" s="23"/>
      <c r="B19" s="47" t="str">
        <f ca="1">IF(OR($B19=0,$J19=""),"-",CONCATENATE(#REF!&amp;".",IF(AND(#REF!&gt;=2,$B19&gt;=2),#REF!&amp;".",""),IF(AND(#REF!&gt;=3,$B19&gt;=3),#REF!&amp;".",""),IF(AND(#REF!&gt;=4,$B19&gt;=4),#REF!&amp;".",""),IF($B19="S",#REF!&amp;".","")))</f>
        <v>1.4.1.</v>
      </c>
      <c r="C19" s="49" t="s">
        <v>96</v>
      </c>
      <c r="D19" s="111" t="s">
        <v>110</v>
      </c>
      <c r="E19" s="50" t="s">
        <v>80</v>
      </c>
      <c r="F19" s="51">
        <f>ORÇAMENTO!G24</f>
        <v>34</v>
      </c>
      <c r="G19" s="122">
        <v>910.58</v>
      </c>
      <c r="H19" s="122">
        <v>980</v>
      </c>
      <c r="I19" s="123">
        <v>915</v>
      </c>
      <c r="J19" s="53">
        <f t="shared" si="1"/>
        <v>935.19</v>
      </c>
      <c r="K19" s="20"/>
      <c r="M19" s="128">
        <f t="shared" si="2"/>
        <v>30959.72</v>
      </c>
      <c r="N19" s="128">
        <f t="shared" si="0"/>
        <v>33320</v>
      </c>
      <c r="O19" s="128">
        <f t="shared" si="3"/>
        <v>31110</v>
      </c>
    </row>
    <row r="20" spans="1:15" ht="30" x14ac:dyDescent="0.25">
      <c r="A20" s="23"/>
      <c r="B20" s="47" t="str">
        <f ca="1">IF(OR($B20=0,$J20=""),"-",CONCATENATE(#REF!&amp;".",IF(AND(#REF!&gt;=2,$B20&gt;=2),#REF!&amp;".",""),IF(AND(#REF!&gt;=3,$B20&gt;=3),#REF!&amp;".",""),IF(AND(#REF!&gt;=4,$B20&gt;=4),#REF!&amp;".",""),IF($B20="S",#REF!&amp;".","")))</f>
        <v>1.4.1.</v>
      </c>
      <c r="C20" s="49" t="s">
        <v>97</v>
      </c>
      <c r="D20" s="111" t="s">
        <v>111</v>
      </c>
      <c r="E20" s="50" t="s">
        <v>112</v>
      </c>
      <c r="F20" s="51">
        <f>ORÇAMENTO!G25</f>
        <v>27</v>
      </c>
      <c r="G20" s="122">
        <v>352.5</v>
      </c>
      <c r="H20" s="122">
        <v>370.52</v>
      </c>
      <c r="I20" s="123">
        <v>359.99</v>
      </c>
      <c r="J20" s="53">
        <f t="shared" si="1"/>
        <v>361</v>
      </c>
      <c r="K20" s="20"/>
      <c r="M20" s="128">
        <f t="shared" si="2"/>
        <v>9517.5</v>
      </c>
      <c r="N20" s="128">
        <f t="shared" si="0"/>
        <v>10004.039999999999</v>
      </c>
      <c r="O20" s="128">
        <f t="shared" si="3"/>
        <v>9719.73</v>
      </c>
    </row>
    <row r="21" spans="1:15" ht="30" x14ac:dyDescent="0.25">
      <c r="A21" s="23"/>
      <c r="B21" s="47" t="str">
        <f ca="1">IF(OR($B21=0,$J21=""),"-",CONCATENATE(#REF!&amp;".",IF(AND(#REF!&gt;=2,$B21&gt;=2),#REF!&amp;".",""),IF(AND(#REF!&gt;=3,$B21&gt;=3),#REF!&amp;".",""),IF(AND(#REF!&gt;=4,$B21&gt;=4),#REF!&amp;".",""),IF($B21="S",#REF!&amp;".","")))</f>
        <v>1.4.1.</v>
      </c>
      <c r="C21" s="49" t="s">
        <v>98</v>
      </c>
      <c r="D21" s="111" t="s">
        <v>113</v>
      </c>
      <c r="E21" s="50" t="s">
        <v>112</v>
      </c>
      <c r="F21" s="51">
        <f>ORÇAMENTO!G26</f>
        <v>19</v>
      </c>
      <c r="G21" s="122">
        <v>620.35</v>
      </c>
      <c r="H21" s="122">
        <v>710</v>
      </c>
      <c r="I21" s="123">
        <v>680.21</v>
      </c>
      <c r="J21" s="53">
        <f t="shared" si="1"/>
        <v>670.19</v>
      </c>
      <c r="K21" s="20"/>
      <c r="M21" s="128">
        <f t="shared" si="2"/>
        <v>11786.65</v>
      </c>
      <c r="N21" s="128">
        <f t="shared" si="0"/>
        <v>13490</v>
      </c>
      <c r="O21" s="128">
        <f t="shared" si="3"/>
        <v>12923.990000000002</v>
      </c>
    </row>
    <row r="22" spans="1:15" ht="30" x14ac:dyDescent="0.25">
      <c r="A22" s="23"/>
      <c r="B22" s="47" t="str">
        <f ca="1">IF(OR($B22=0,$J22=""),"-",CONCATENATE(#REF!&amp;".",IF(AND(#REF!&gt;=2,$B22&gt;=2),#REF!&amp;".",""),IF(AND(#REF!&gt;=3,$B22&gt;=3),#REF!&amp;".",""),IF(AND(#REF!&gt;=4,$B22&gt;=4),#REF!&amp;".",""),IF($B22="S",#REF!&amp;".","")))</f>
        <v>1.4.1.</v>
      </c>
      <c r="C22" s="49" t="s">
        <v>99</v>
      </c>
      <c r="D22" s="111" t="s">
        <v>114</v>
      </c>
      <c r="E22" s="50" t="s">
        <v>112</v>
      </c>
      <c r="F22" s="51">
        <f>ORÇAMENTO!G27</f>
        <v>1</v>
      </c>
      <c r="G22" s="122">
        <v>13890.58</v>
      </c>
      <c r="H22" s="122">
        <v>14850.2</v>
      </c>
      <c r="I22" s="123">
        <v>14050.2</v>
      </c>
      <c r="J22" s="53">
        <f t="shared" si="1"/>
        <v>14263.66</v>
      </c>
      <c r="K22" s="20"/>
      <c r="M22" s="128">
        <f t="shared" si="2"/>
        <v>13890.58</v>
      </c>
      <c r="N22" s="128">
        <f t="shared" si="0"/>
        <v>14850.2</v>
      </c>
      <c r="O22" s="128">
        <f t="shared" si="3"/>
        <v>14050.2</v>
      </c>
    </row>
    <row r="23" spans="1:15" ht="30" x14ac:dyDescent="0.25">
      <c r="A23" s="23"/>
      <c r="B23" s="47" t="str">
        <f ca="1">IF(OR($B23=0,$J23=""),"-",CONCATENATE(#REF!&amp;".",IF(AND(#REF!&gt;=2,$B23&gt;=2),#REF!&amp;".",""),IF(AND(#REF!&gt;=3,$B23&gt;=3),#REF!&amp;".",""),IF(AND(#REF!&gt;=4,$B23&gt;=4),#REF!&amp;".",""),IF($B23="S",#REF!&amp;".","")))</f>
        <v>1.4.1.</v>
      </c>
      <c r="C23" s="49" t="s">
        <v>100</v>
      </c>
      <c r="D23" s="111" t="s">
        <v>115</v>
      </c>
      <c r="E23" s="50" t="s">
        <v>112</v>
      </c>
      <c r="F23" s="51">
        <f>ORÇAMENTO!G28</f>
        <v>3</v>
      </c>
      <c r="G23" s="122">
        <v>19825.32</v>
      </c>
      <c r="H23" s="122">
        <v>21500</v>
      </c>
      <c r="I23" s="123">
        <v>20030.2</v>
      </c>
      <c r="J23" s="53">
        <f t="shared" si="1"/>
        <v>20451.84</v>
      </c>
      <c r="K23" s="20"/>
      <c r="M23" s="128">
        <f t="shared" si="2"/>
        <v>59475.96</v>
      </c>
      <c r="N23" s="128">
        <f t="shared" si="0"/>
        <v>64500</v>
      </c>
      <c r="O23" s="128">
        <f t="shared" si="3"/>
        <v>60090.600000000006</v>
      </c>
    </row>
    <row r="24" spans="1:15" ht="30" x14ac:dyDescent="0.25">
      <c r="A24" s="23"/>
      <c r="B24" s="47" t="str">
        <f ca="1">IF(OR($B24=0,$J24=""),"-",CONCATENATE(#REF!&amp;".",IF(AND(#REF!&gt;=2,$B24&gt;=2),#REF!&amp;".",""),IF(AND(#REF!&gt;=3,$B24&gt;=3),#REF!&amp;".",""),IF(AND(#REF!&gt;=4,$B24&gt;=4),#REF!&amp;".",""),IF($B24="S",#REF!&amp;".","")))</f>
        <v>1.4.1.</v>
      </c>
      <c r="C24" s="49" t="s">
        <v>101</v>
      </c>
      <c r="D24" s="111" t="s">
        <v>116</v>
      </c>
      <c r="E24" s="50" t="s">
        <v>112</v>
      </c>
      <c r="F24" s="51">
        <f>ORÇAMENTO!G29</f>
        <v>3</v>
      </c>
      <c r="G24" s="122">
        <v>23220.799999999999</v>
      </c>
      <c r="H24" s="122">
        <v>24300.5</v>
      </c>
      <c r="I24" s="123">
        <v>23898</v>
      </c>
      <c r="J24" s="53">
        <f t="shared" si="1"/>
        <v>23806.43</v>
      </c>
      <c r="K24" s="20"/>
      <c r="M24" s="128">
        <f t="shared" si="2"/>
        <v>69662.399999999994</v>
      </c>
      <c r="N24" s="128">
        <f t="shared" si="0"/>
        <v>72901.5</v>
      </c>
      <c r="O24" s="128">
        <f t="shared" si="3"/>
        <v>71694</v>
      </c>
    </row>
    <row r="25" spans="1:15" x14ac:dyDescent="0.25">
      <c r="A25" s="23"/>
      <c r="B25" s="28"/>
      <c r="C25" s="29"/>
      <c r="D25" s="29"/>
      <c r="E25" s="29"/>
      <c r="F25" s="29"/>
      <c r="G25" s="29"/>
      <c r="H25" s="29"/>
      <c r="I25" s="29"/>
      <c r="J25" s="30"/>
      <c r="K25" s="20"/>
      <c r="M25" s="128">
        <f>SUM(M11:M24)</f>
        <v>528010.35000000009</v>
      </c>
      <c r="N25" s="128">
        <f>SUM(N11:N24)</f>
        <v>558600.92000000004</v>
      </c>
      <c r="O25" s="128">
        <f>SUM(O11:O24)</f>
        <v>537823.74</v>
      </c>
    </row>
    <row r="26" spans="1:15" x14ac:dyDescent="0.25">
      <c r="A26" s="23"/>
      <c r="B26" s="17"/>
      <c r="C26" s="17"/>
      <c r="D26" s="17"/>
      <c r="E26" s="17"/>
      <c r="F26" s="17"/>
      <c r="G26" s="17"/>
      <c r="H26" s="17"/>
      <c r="I26" s="17"/>
      <c r="J26" s="17"/>
      <c r="K26" s="20"/>
    </row>
    <row r="27" spans="1:15" x14ac:dyDescent="0.25">
      <c r="A27" s="23"/>
      <c r="B27" s="162" t="s">
        <v>24</v>
      </c>
      <c r="C27" s="163"/>
      <c r="D27" s="163"/>
      <c r="E27" s="163"/>
      <c r="F27" s="163"/>
      <c r="G27" s="163"/>
      <c r="H27" s="163"/>
      <c r="I27" s="163"/>
      <c r="J27" s="164"/>
      <c r="K27" s="20"/>
    </row>
    <row r="28" spans="1:15" x14ac:dyDescent="0.25">
      <c r="A28" s="23"/>
      <c r="B28" s="171"/>
      <c r="C28" s="171"/>
      <c r="D28" s="171"/>
      <c r="E28" s="171"/>
      <c r="F28" s="171"/>
      <c r="G28" s="171"/>
      <c r="H28" s="171"/>
      <c r="I28" s="171"/>
      <c r="J28" s="171"/>
      <c r="K28" s="20"/>
    </row>
    <row r="29" spans="1:15" x14ac:dyDescent="0.25">
      <c r="A29" s="23"/>
      <c r="B29" s="171"/>
      <c r="C29" s="171"/>
      <c r="D29" s="171"/>
      <c r="E29" s="171"/>
      <c r="F29" s="171"/>
      <c r="G29" s="171"/>
      <c r="H29" s="171"/>
      <c r="I29" s="171"/>
      <c r="J29" s="171"/>
      <c r="K29" s="20"/>
    </row>
    <row r="30" spans="1:15" x14ac:dyDescent="0.25">
      <c r="A30" s="23"/>
      <c r="B30" s="17"/>
      <c r="C30" s="17"/>
      <c r="D30" s="17"/>
      <c r="E30" s="17"/>
      <c r="F30" s="17"/>
      <c r="G30" s="17"/>
      <c r="H30" s="17"/>
      <c r="I30" s="17"/>
      <c r="J30" s="17"/>
      <c r="K30" s="20"/>
    </row>
    <row r="31" spans="1:15" x14ac:dyDescent="0.25">
      <c r="A31" s="23"/>
      <c r="B31" s="17"/>
      <c r="C31" s="17"/>
      <c r="D31" s="17"/>
      <c r="E31" s="17"/>
      <c r="F31" s="17"/>
      <c r="G31" s="17"/>
      <c r="H31" s="17"/>
      <c r="I31" s="17"/>
      <c r="J31" s="17"/>
      <c r="K31" s="20"/>
    </row>
    <row r="32" spans="1:15" x14ac:dyDescent="0.25">
      <c r="A32" s="23"/>
      <c r="B32" s="17"/>
      <c r="C32" s="17"/>
      <c r="D32" s="17"/>
      <c r="E32" s="17"/>
      <c r="F32" s="17"/>
      <c r="G32" s="17"/>
      <c r="H32" s="17"/>
      <c r="I32" s="17"/>
      <c r="J32" s="17"/>
      <c r="K32" s="20"/>
    </row>
    <row r="33" spans="1:11" x14ac:dyDescent="0.25">
      <c r="A33" s="23"/>
      <c r="B33" s="165" t="str">
        <f>BDI!B42</f>
        <v>São João da Lagoa - MG</v>
      </c>
      <c r="C33" s="165"/>
      <c r="D33" s="17"/>
      <c r="E33" s="56"/>
      <c r="F33" s="56"/>
      <c r="G33" s="56"/>
      <c r="H33" s="121"/>
      <c r="I33" s="17"/>
      <c r="J33" s="17"/>
      <c r="K33" s="20"/>
    </row>
    <row r="34" spans="1:11" x14ac:dyDescent="0.25">
      <c r="A34" s="23"/>
      <c r="B34" s="57" t="s">
        <v>25</v>
      </c>
      <c r="C34" s="17"/>
      <c r="D34" s="17"/>
      <c r="E34" s="58" t="s">
        <v>27</v>
      </c>
      <c r="F34" s="58"/>
      <c r="G34" s="58"/>
      <c r="H34" s="58"/>
      <c r="I34" s="17"/>
      <c r="J34" s="17"/>
      <c r="K34" s="20"/>
    </row>
    <row r="35" spans="1:11" x14ac:dyDescent="0.25">
      <c r="A35" s="23"/>
      <c r="B35" s="17"/>
      <c r="C35" s="17"/>
      <c r="D35" s="17"/>
      <c r="E35" s="15" t="s">
        <v>28</v>
      </c>
      <c r="F35" s="161" t="str">
        <f>BDI!C48</f>
        <v>BRENO DENILSON ANDRADE REIS</v>
      </c>
      <c r="G35" s="161"/>
      <c r="H35" s="120"/>
      <c r="I35" s="17"/>
      <c r="J35" s="17"/>
      <c r="K35" s="20"/>
    </row>
    <row r="36" spans="1:11" x14ac:dyDescent="0.25">
      <c r="A36" s="23"/>
      <c r="B36" s="166" t="str">
        <f>BDI!H42</f>
        <v>sexta-feira, 17 de Junho de 2026</v>
      </c>
      <c r="C36" s="166"/>
      <c r="D36" s="17"/>
      <c r="E36" s="15" t="s">
        <v>29</v>
      </c>
      <c r="F36" s="161" t="str">
        <f>BDI!C49</f>
        <v>143454 / D</v>
      </c>
      <c r="G36" s="161"/>
      <c r="H36" s="120"/>
      <c r="I36" s="17"/>
      <c r="J36" s="17"/>
      <c r="K36" s="20"/>
    </row>
    <row r="37" spans="1:11" x14ac:dyDescent="0.25">
      <c r="A37" s="23"/>
      <c r="B37" s="59" t="s">
        <v>26</v>
      </c>
      <c r="C37" s="60"/>
      <c r="D37" s="17"/>
      <c r="E37" s="15" t="s">
        <v>30</v>
      </c>
      <c r="F37" s="161" t="str">
        <f>BDI!C50</f>
        <v>MG20265043644</v>
      </c>
      <c r="G37" s="161"/>
      <c r="H37" s="120"/>
      <c r="I37" s="17"/>
      <c r="J37" s="17"/>
      <c r="K37" s="20"/>
    </row>
    <row r="38" spans="1:11" x14ac:dyDescent="0.25">
      <c r="A38" s="24"/>
      <c r="B38" s="21"/>
      <c r="C38" s="21"/>
      <c r="D38" s="21"/>
      <c r="E38" s="21"/>
      <c r="F38" s="21"/>
      <c r="G38" s="21"/>
      <c r="H38" s="21"/>
      <c r="I38" s="21"/>
      <c r="J38" s="21"/>
      <c r="K38" s="22"/>
    </row>
  </sheetData>
  <mergeCells count="18">
    <mergeCell ref="F37:G37"/>
    <mergeCell ref="H7:I7"/>
    <mergeCell ref="H8:I8"/>
    <mergeCell ref="D7:G7"/>
    <mergeCell ref="D8:G8"/>
    <mergeCell ref="B27:J27"/>
    <mergeCell ref="B28:J29"/>
    <mergeCell ref="B33:C33"/>
    <mergeCell ref="F35:G35"/>
    <mergeCell ref="B36:C36"/>
    <mergeCell ref="F36:G36"/>
    <mergeCell ref="B9:J9"/>
    <mergeCell ref="B1:I1"/>
    <mergeCell ref="B2:I2"/>
    <mergeCell ref="B4:C4"/>
    <mergeCell ref="D4:J4"/>
    <mergeCell ref="B5:C5"/>
    <mergeCell ref="D5:J5"/>
  </mergeCells>
  <phoneticPr fontId="14" type="noConversion"/>
  <conditionalFormatting sqref="B9">
    <cfRule type="expression" dxfId="9" priority="13" stopIfTrue="1">
      <formula>ISERROR(INDIRECT(#REF!))</formula>
    </cfRule>
  </conditionalFormatting>
  <conditionalFormatting sqref="B11:B24 I11:J24">
    <cfRule type="expression" dxfId="8" priority="11" stopIfTrue="1">
      <formula>$B11=1</formula>
    </cfRule>
    <cfRule type="expression" dxfId="7" priority="12" stopIfTrue="1">
      <formula>OR($B11=0,$B11=2,$B11=3,$B11=4)</formula>
    </cfRule>
  </conditionalFormatting>
  <conditionalFormatting sqref="C11:C24">
    <cfRule type="expression" dxfId="6" priority="6" stopIfTrue="1">
      <formula>$B11=1</formula>
    </cfRule>
    <cfRule type="expression" dxfId="5" priority="7" stopIfTrue="1">
      <formula>OR($B11=0,$B11=2,$B11=3,$B11=4)</formula>
    </cfRule>
  </conditionalFormatting>
  <conditionalFormatting sqref="E11:F24">
    <cfRule type="expression" dxfId="4" priority="8" stopIfTrue="1">
      <formula>$B11=1</formula>
    </cfRule>
    <cfRule type="expression" dxfId="3" priority="9" stopIfTrue="1">
      <formula>OR($B11=0,$B11=2,$B11=3,$B11=4)</formula>
    </cfRule>
  </conditionalFormatting>
  <conditionalFormatting sqref="G11:H24">
    <cfRule type="expression" dxfId="2" priority="3" stopIfTrue="1">
      <formula>$B11=1</formula>
    </cfRule>
    <cfRule type="expression" dxfId="1" priority="4" stopIfTrue="1">
      <formula>OR($B11=0,$B11=2,$B11=3,$B11=4)</formula>
    </cfRule>
    <cfRule type="expression" dxfId="0" priority="5" stopIfTrue="1">
      <formula>AND(TIPOORCAMENTO="Licitado",$B11&lt;&gt;"L",$B11&lt;&gt;-1)</formula>
    </cfRule>
  </conditionalFormatting>
  <dataValidations count="3">
    <dataValidation type="decimal" operator="greaterThan" allowBlank="1" showErrorMessage="1" error="Apenas números decimais maiores que zero." sqref="G11:H24" xr:uid="{859D3F5B-7439-4FA0-ACEF-FA9A445CC56E}">
      <formula1>0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F11:F24" xr:uid="{60C3393B-A592-40A0-90E9-7CDFDD844426}"/>
    <dataValidation allowBlank="1" showInputMessage="1" showErrorMessage="1" prompt="Para Orçamento Proposto, o Preço Unitário é resultado do produto do Custo Unitário pelo BDI._x000a_Para Orçamento Licitado, deve ser preenchido na Coluna AL." sqref="I11:I24" xr:uid="{83077703-8DD2-4EDA-A930-262DA44E40D6}"/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BDI</vt:lpstr>
      <vt:lpstr>ORÇAMENTO</vt:lpstr>
      <vt:lpstr>CRONOGRAMA</vt:lpstr>
      <vt:lpstr>MEMÓRIA DE CÁLCULO</vt:lpstr>
      <vt:lpstr>COTAÇÃO</vt:lpstr>
      <vt:lpstr>BDI!Area_de_impressao</vt:lpstr>
      <vt:lpstr>COTAÇÃO!Area_de_impressao</vt:lpstr>
      <vt:lpstr>CRONOGRAMA!Area_de_impressao</vt:lpstr>
      <vt:lpstr>'MEMÓRIA DE CÁLCULO'!Area_de_impressao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Peterson Amaral Lima</dc:creator>
  <cp:lastModifiedBy>Leonardo Peterson Amaral Lima</cp:lastModifiedBy>
  <cp:lastPrinted>2026-06-25T14:25:45Z</cp:lastPrinted>
  <dcterms:created xsi:type="dcterms:W3CDTF">2025-04-02T15:14:09Z</dcterms:created>
  <dcterms:modified xsi:type="dcterms:W3CDTF">2026-06-25T17:09:31Z</dcterms:modified>
</cp:coreProperties>
</file>