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EFEITURA\OBRAS 2026\Pavimentação  300 MIL - Sede\LICITAÇÃO\"/>
    </mc:Choice>
  </mc:AlternateContent>
  <xr:revisionPtr revIDLastSave="0" documentId="13_ncr:1_{CD026107-47F0-43A1-B8B0-A5B500475D7F}" xr6:coauthVersionLast="47" xr6:coauthVersionMax="47" xr10:uidLastSave="{00000000-0000-0000-0000-000000000000}"/>
  <bookViews>
    <workbookView xWindow="-120" yWindow="-120" windowWidth="29040" windowHeight="15720" activeTab="1" xr2:uid="{BC7E82ED-24DA-47D3-A3DE-70EA21059675}"/>
  </bookViews>
  <sheets>
    <sheet name="BDI" sheetId="1" r:id="rId1"/>
    <sheet name="ORÇAMENTO" sheetId="2" r:id="rId2"/>
    <sheet name="CRONOGRAMA" sheetId="3" r:id="rId3"/>
    <sheet name="MEMÓRIA DE CÁLCULO" sheetId="5" r:id="rId4"/>
    <sheet name="COMPOSIÇÃO" sheetId="6" r:id="rId5"/>
  </sheets>
  <externalReferences>
    <externalReference r:id="rId6"/>
    <externalReference r:id="rId7"/>
    <externalReference r:id="rId8"/>
  </externalReferences>
  <definedNames>
    <definedName name="ACOMPANHAMENTO" hidden="1">IF(VALUE([1]MENU!$O$4)=2,"BM","PLE")</definedName>
    <definedName name="_xlnm.Print_Area" localSheetId="4">COMPOSIÇÃO!$A$1:$I$181</definedName>
    <definedName name="_xlnm.Print_Area" localSheetId="3">'MEMÓRIA DE CÁLCULO'!$A$1:$M$37</definedName>
    <definedName name="_xlnm.Print_Area" localSheetId="1">ORÇAMENTO!$A$1:$L$42</definedName>
    <definedName name="AUTOEVENTO" hidden="1">#REF!</definedName>
    <definedName name="BDI.Opcao" hidden="1">[1]DADOS!$F$18</definedName>
    <definedName name="BDI.TipoObra" hidden="1">[1]BDI!$A$138:$A$146</definedName>
    <definedName name="CÁLCULO.NúmeroDeFrentes" hidden="1">COLUMN([1]CÁLCULO!$AA$15)-COLUMN([1]CÁLCULO!$Q$15)</definedName>
    <definedName name="CRONO.MaxParc" hidden="1">[1]CRONO!$G65536+[1]CRONO!A1</definedName>
    <definedName name="CRONOPLE.ValorDoEvento" hidden="1">SUMIF([1]CÁLCULO!$M$15:$M$27,[1]CRONOPLE!$B1,OFFSET([1]CÁLCULO!$AA$15:$AA$27,0,[1]CRONOPLE!A$12))</definedName>
    <definedName name="DESONERACAO" hidden="1">IF(OR(Import.Desoneracao="DESONERADO",Import.Desoneracao="SIM"),"SIM","NÃO")</definedName>
    <definedName name="EVENTOS.ListaValidacao" hidden="1">[1]EVENTOS!$B$15:OFFSET([1]EVENTOS!$B$62,-1,0)</definedName>
    <definedName name="Excel_BuiltIn_Database" hidden="1">TEXT(Import.DataBase,"mm-aaaa")</definedName>
    <definedName name="Import.Apelido" hidden="1">[1]DADOS!$F$16</definedName>
    <definedName name="Import.CR" hidden="1">[1]DADOS!$F$7</definedName>
    <definedName name="Import.CTEF" hidden="1">[1]DADOS!$F$36</definedName>
    <definedName name="Import.DataBase" hidden="1">OFFSET([1]DADOS!$G$19,0,-1)</definedName>
    <definedName name="Import.DescLote" hidden="1">[1]DADOS!$F$17</definedName>
    <definedName name="Import.Desoneracao" hidden="1">OFFSET([1]DADOS!$G$18,0,-1)</definedName>
    <definedName name="Import.empresa" hidden="1">[1]DADOS!$F$37</definedName>
    <definedName name="Import.Município" hidden="1">[1]DADOS!$F$6</definedName>
    <definedName name="Import.Proponente" hidden="1">[1]DADOS!$F$5</definedName>
    <definedName name="import.recurso" hidden="1">[1]DADOS!$F$4</definedName>
    <definedName name="Import.RegimeExecução" hidden="1">OFFSET([1]DADOS!$G$39,0,-1)</definedName>
    <definedName name="Import.RespOrçamento" hidden="1">[1]DADOS!$F$22:$F$24</definedName>
    <definedName name="Import.SICONV" hidden="1">[1]DADOS!$F$8</definedName>
    <definedName name="ORÇAMENTO.BancoRef" hidden="1">CRONOGRAMA!#REF!</definedName>
    <definedName name="ORÇAMENTO.CustoUnitario" hidden="1">ROUND(CRONOGRAMA!$S1,15-13*CRONOGRAMA!#REF!)</definedName>
    <definedName name="ORÇAMENTO.PrecoUnitarioLicitado" hidden="1">CRONOGRAMA!$AJ1</definedName>
    <definedName name="REFERENCIA.Descricao" hidden="1">IF(ISNUMBER(CRONOGRAMA!$AD1),OFFSET(INDIRECT(ORÇAMENTO.BancoRef),CRONOGRAMA!$AD1-1,3,1),CRONOGRAMA!$AD1)</definedName>
    <definedName name="REFERENCIA.Unidade" hidden="1">IF(ISNUMBER(CRONOGRAMA!$AD1),OFFSET(INDIRECT(ORÇAMENTO.BancoRef),CRONOGRAMA!$AD1-1,4,1),"-")</definedName>
    <definedName name="SomaAgrup" hidden="1">SUMIF(OFFSET(CRONOGRAMA!#REF!,1,0,CRONOGRAMA!#REF!),"S",OFFSET(CRONOGRAMA!A1,1,0,CRONOGRAMA!#REF!))</definedName>
    <definedName name="TIPOORCAMENTO" hidden="1">IF(VALUE([1]MENU!$O$3)=2,"Licitado","Proposto")</definedName>
    <definedName name="VTOTAL1" hidden="1">ROUND(CRONOGRAMA!$R1*CRONOGRAMA!$U1,15-13*CRONOGRAMA!$AD$9)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5" l="1"/>
  <c r="L23" i="5"/>
  <c r="J23" i="5"/>
  <c r="K23" i="5"/>
  <c r="E8" i="2"/>
  <c r="C27" i="5"/>
  <c r="C26" i="5"/>
  <c r="C24" i="5"/>
  <c r="C23" i="5"/>
  <c r="C19" i="5"/>
  <c r="C20" i="5"/>
  <c r="C21" i="5"/>
  <c r="C18" i="5"/>
  <c r="C14" i="5"/>
  <c r="C13" i="5"/>
  <c r="E27" i="5"/>
  <c r="E26" i="5"/>
  <c r="E14" i="5"/>
  <c r="E13" i="5"/>
  <c r="E23" i="5"/>
  <c r="E24" i="5"/>
  <c r="E19" i="5"/>
  <c r="E20" i="5"/>
  <c r="E21" i="5"/>
  <c r="E18" i="5"/>
  <c r="D11" i="3"/>
  <c r="C14" i="3"/>
  <c r="C13" i="3"/>
  <c r="C12" i="3"/>
  <c r="C11" i="3"/>
  <c r="C10" i="3"/>
  <c r="B14" i="3"/>
  <c r="B13" i="3"/>
  <c r="B12" i="3"/>
  <c r="B10" i="3"/>
  <c r="B9" i="3"/>
  <c r="P14" i="5" l="1"/>
  <c r="P15" i="5"/>
  <c r="P16" i="5"/>
  <c r="P17" i="5"/>
  <c r="P19" i="5"/>
  <c r="P21" i="5"/>
  <c r="P22" i="5"/>
  <c r="P23" i="5"/>
  <c r="P24" i="5"/>
  <c r="P25" i="5"/>
  <c r="P26" i="5"/>
  <c r="P27" i="5"/>
  <c r="P14" i="2"/>
  <c r="H28" i="6"/>
  <c r="H29" i="6" s="1"/>
  <c r="H23" i="6"/>
  <c r="H24" i="6" s="1"/>
  <c r="H16" i="6"/>
  <c r="H17" i="6"/>
  <c r="H18" i="6"/>
  <c r="H19" i="6"/>
  <c r="H20" i="6"/>
  <c r="H15" i="6"/>
  <c r="C5" i="6"/>
  <c r="B8" i="6" s="1"/>
  <c r="B5" i="6"/>
  <c r="E21" i="2"/>
  <c r="E19" i="2"/>
  <c r="H121" i="6"/>
  <c r="H122" i="6" s="1"/>
  <c r="H116" i="6"/>
  <c r="H117" i="6" s="1"/>
  <c r="H113" i="6"/>
  <c r="H112" i="6"/>
  <c r="H111" i="6"/>
  <c r="H110" i="6"/>
  <c r="H109" i="6"/>
  <c r="H108" i="6"/>
  <c r="H8" i="6"/>
  <c r="H21" i="6" l="1"/>
  <c r="H25" i="6" s="1"/>
  <c r="H26" i="6" s="1"/>
  <c r="H33" i="6" s="1"/>
  <c r="H114" i="6"/>
  <c r="H118" i="6" s="1"/>
  <c r="H119" i="6" s="1"/>
  <c r="H126" i="6" s="1"/>
  <c r="H19" i="2" s="1"/>
  <c r="H35" i="6" l="1"/>
  <c r="H21" i="2"/>
  <c r="F18" i="5" l="1"/>
  <c r="J26" i="5"/>
  <c r="J20" i="5"/>
  <c r="J21" i="5" s="1"/>
  <c r="K20" i="5"/>
  <c r="K21" i="5" s="1"/>
  <c r="L20" i="5"/>
  <c r="L21" i="5" s="1"/>
  <c r="I20" i="5"/>
  <c r="I21" i="5" s="1"/>
  <c r="J19" i="5"/>
  <c r="F14" i="5"/>
  <c r="G15" i="2" s="1"/>
  <c r="D14" i="5"/>
  <c r="J15" i="2"/>
  <c r="D17" i="5"/>
  <c r="K19" i="5"/>
  <c r="L19" i="5"/>
  <c r="I19" i="5"/>
  <c r="K16" i="2" l="1"/>
  <c r="K15" i="2"/>
  <c r="F19" i="5" l="1"/>
  <c r="G20" i="2" s="1"/>
  <c r="F20" i="5"/>
  <c r="G21" i="2" s="1"/>
  <c r="F21" i="5"/>
  <c r="G22" i="2" s="1"/>
  <c r="G19" i="2"/>
  <c r="D18" i="5"/>
  <c r="D19" i="5"/>
  <c r="D20" i="5"/>
  <c r="D21" i="5"/>
  <c r="D23" i="5"/>
  <c r="J19" i="2"/>
  <c r="P18" i="5" s="1"/>
  <c r="J20" i="2"/>
  <c r="J22" i="2"/>
  <c r="J21" i="2"/>
  <c r="P20" i="5" s="1"/>
  <c r="J24" i="2"/>
  <c r="B9" i="1"/>
  <c r="G14" i="2"/>
  <c r="K20" i="2" l="1"/>
  <c r="F24" i="5"/>
  <c r="G25" i="2" s="1"/>
  <c r="F23" i="5"/>
  <c r="G24" i="2" s="1"/>
  <c r="K19" i="2"/>
  <c r="K21" i="2"/>
  <c r="K22" i="2"/>
  <c r="L26" i="5"/>
  <c r="L27" i="5"/>
  <c r="K26" i="5"/>
  <c r="I27" i="5"/>
  <c r="I26" i="5"/>
  <c r="B40" i="2"/>
  <c r="K24" i="2" l="1"/>
  <c r="N24" i="2"/>
  <c r="K18" i="2"/>
  <c r="D12" i="3" s="1"/>
  <c r="J28" i="2"/>
  <c r="J27" i="2"/>
  <c r="J25" i="2"/>
  <c r="J17" i="2"/>
  <c r="J14" i="2"/>
  <c r="P13" i="5" s="1"/>
  <c r="I8" i="2"/>
  <c r="K30" i="1"/>
  <c r="F13" i="5"/>
  <c r="D24" i="5"/>
  <c r="D26" i="5"/>
  <c r="D27" i="5"/>
  <c r="D16" i="5"/>
  <c r="D13" i="5"/>
  <c r="D5" i="3"/>
  <c r="B11" i="2"/>
  <c r="D35" i="5"/>
  <c r="B24" i="3"/>
  <c r="E6" i="5"/>
  <c r="C10" i="5"/>
  <c r="D11" i="5"/>
  <c r="G17" i="2"/>
  <c r="B10" i="5"/>
  <c r="J26" i="2"/>
  <c r="F17" i="2"/>
  <c r="I10" i="2"/>
  <c r="H10" i="2"/>
  <c r="B42" i="1"/>
  <c r="D32" i="5" s="1"/>
  <c r="G2" i="1"/>
  <c r="I10" i="5" l="1"/>
  <c r="J10" i="5"/>
  <c r="L10" i="5"/>
  <c r="K10" i="5"/>
  <c r="S27" i="5"/>
  <c r="T27" i="5"/>
  <c r="T24" i="5"/>
  <c r="S24" i="5"/>
  <c r="S26" i="5"/>
  <c r="T26" i="5"/>
  <c r="K14" i="2"/>
  <c r="K13" i="2" s="1"/>
  <c r="K25" i="2"/>
  <c r="F27" i="5"/>
  <c r="G28" i="2" s="1"/>
  <c r="F26" i="5"/>
  <c r="G27" i="2" s="1"/>
  <c r="B37" i="2"/>
  <c r="B21" i="3"/>
  <c r="N13" i="2" l="1"/>
  <c r="D10" i="3"/>
  <c r="K23" i="2"/>
  <c r="D13" i="3" s="1"/>
  <c r="T28" i="5"/>
  <c r="W27" i="5"/>
  <c r="W24" i="5"/>
  <c r="W26" i="5"/>
  <c r="S28" i="5"/>
  <c r="K27" i="2"/>
  <c r="K28" i="2"/>
  <c r="N10" i="5"/>
  <c r="P10" i="5"/>
  <c r="L9" i="5"/>
  <c r="K26" i="2" l="1"/>
  <c r="D14" i="3" s="1"/>
  <c r="O10" i="5"/>
  <c r="K12" i="2" l="1"/>
  <c r="K11" i="2" l="1"/>
  <c r="D9" i="3"/>
  <c r="F9" i="3" l="1"/>
  <c r="F16" i="3" s="1"/>
  <c r="G9" i="3"/>
  <c r="G17" i="3" s="1"/>
  <c r="D29" i="3"/>
  <c r="F17" i="3" l="1"/>
  <c r="F19" i="3" s="1"/>
  <c r="G19" i="3" s="1"/>
  <c r="G16" i="3"/>
  <c r="F18" i="3"/>
  <c r="G18" i="3" l="1"/>
  <c r="J12" i="2"/>
  <c r="C17" i="5"/>
  <c r="B11" i="3"/>
  <c r="H18" i="5"/>
  <c r="H19" i="5"/>
  <c r="H21" i="5"/>
  <c r="H20" i="5"/>
  <c r="H24" i="5"/>
  <c r="H23" i="5"/>
  <c r="H13" i="5"/>
  <c r="H14" i="5"/>
  <c r="H26" i="5"/>
  <c r="H27" i="5"/>
  <c r="B17" i="2"/>
  <c r="E16" i="5"/>
  <c r="H16" i="5"/>
</calcChain>
</file>

<file path=xl/sharedStrings.xml><?xml version="1.0" encoding="utf-8"?>
<sst xmlns="http://schemas.openxmlformats.org/spreadsheetml/2006/main" count="420" uniqueCount="214">
  <si>
    <t>Grau de Sigilo</t>
  </si>
  <si>
    <t>#PUBLICO</t>
  </si>
  <si>
    <t>PROPONENTE / TOMADOR</t>
  </si>
  <si>
    <t>Conforme legislação tributária municipal, definir estimativa de percentual da base de cálculo para o ISS:</t>
  </si>
  <si>
    <t>Sobre a base de cálculo, definir a respectiva alíquota do ISS (entre 2% e 5%):</t>
  </si>
  <si>
    <t>BDI 1</t>
  </si>
  <si>
    <t>TIPO DE OBRA</t>
  </si>
  <si>
    <t>Construção de Praças Urbanas, Rodovias, Ferrovias e recapeamento e pavimentação de vias urbanas</t>
  </si>
  <si>
    <t>Itens</t>
  </si>
  <si>
    <t>Siglas</t>
  </si>
  <si>
    <t>% Adotado</t>
  </si>
  <si>
    <t>Tributos (impostos COFINS 3%, e  PIS 0,65%)</t>
  </si>
  <si>
    <t>CP</t>
  </si>
  <si>
    <t>Tributos (ISS, variável de acordo com o município)</t>
  </si>
  <si>
    <t>ISS</t>
  </si>
  <si>
    <t>Tributos (Contribuição Previdenciária sobre a Receita Bruta - 0% ou 4,5% - Desoneração)</t>
  </si>
  <si>
    <t>CPRB</t>
  </si>
  <si>
    <t>BDI SEM desoneração (Fórmula Acórdão TCU)</t>
  </si>
  <si>
    <t>BDI PAD</t>
  </si>
  <si>
    <t>BDI COM desoneração</t>
  </si>
  <si>
    <t>BDI DES</t>
  </si>
  <si>
    <t>Os valores de BDI foram calculados com o emprego da fórmula:</t>
  </si>
  <si>
    <t>BDI =</t>
  </si>
  <si>
    <t xml:space="preserve"> - 1</t>
  </si>
  <si>
    <t>(1-CP-ISS-CRPB)</t>
  </si>
  <si>
    <t>Observações:</t>
  </si>
  <si>
    <t>Local</t>
  </si>
  <si>
    <t>Data</t>
  </si>
  <si>
    <t>Responsável Técnico</t>
  </si>
  <si>
    <t>Nome:</t>
  </si>
  <si>
    <t>CREA/CAU:</t>
  </si>
  <si>
    <t>Prefeitura Municipal de São João da Lagoa</t>
  </si>
  <si>
    <t>Administração Central</t>
  </si>
  <si>
    <t>AC</t>
  </si>
  <si>
    <t>Seguro e Garantia</t>
  </si>
  <si>
    <t>SG</t>
  </si>
  <si>
    <t>Risco</t>
  </si>
  <si>
    <t>R</t>
  </si>
  <si>
    <t>Despesas Financeiras</t>
  </si>
  <si>
    <t>DF</t>
  </si>
  <si>
    <t>Lucro</t>
  </si>
  <si>
    <t>L</t>
  </si>
  <si>
    <t>(1+AC + S + R + G)*(1 + DF)*(1+L)</t>
  </si>
  <si>
    <t>LEONARDO PETERSON AMARAL LIMA</t>
  </si>
  <si>
    <t>331.073/D</t>
  </si>
  <si>
    <t>OBJETO</t>
  </si>
  <si>
    <t xml:space="preserve">EXECUÇÃO DE PAVIMENTAÇÃO EM BLOCO SEXTAVADO DE CONCRETO DE VIAS URBANAS E RURAIS NO MUNICÍPIO DE SÃO JOÃO DA LAGOA/MG </t>
  </si>
  <si>
    <t>Declaro para os devidos fins que, conforme legislação tributária municipal, a base de cálculo deste tipo de obra corresponde à 100%, com a respectiva alíquota de 5%</t>
  </si>
  <si>
    <t>PO - PLANILHA ORÇAMENTÁRIA</t>
  </si>
  <si>
    <t>DATA BASE</t>
  </si>
  <si>
    <t>Nível</t>
  </si>
  <si>
    <t>Item</t>
  </si>
  <si>
    <t>Fonte</t>
  </si>
  <si>
    <t>Código</t>
  </si>
  <si>
    <t>Descrição</t>
  </si>
  <si>
    <t>Unidade</t>
  </si>
  <si>
    <t>Quantidade</t>
  </si>
  <si>
    <t>Preço Unitário (com BDI) (R$)</t>
  </si>
  <si>
    <t>Preço Total
(R$)</t>
  </si>
  <si>
    <t>Serviço</t>
  </si>
  <si>
    <t>SINAPI</t>
  </si>
  <si>
    <t>Nível 2</t>
  </si>
  <si>
    <t xml:space="preserve">Serviços Iniciais </t>
  </si>
  <si>
    <t>ED-28427</t>
  </si>
  <si>
    <t>Subleito/base</t>
  </si>
  <si>
    <t>A CARGO DA PREFEITURA</t>
  </si>
  <si>
    <t>Pavimentação</t>
  </si>
  <si>
    <t>Meio Fio/Drenagem</t>
  </si>
  <si>
    <t>94267</t>
  </si>
  <si>
    <t>0,00%</t>
  </si>
  <si>
    <t>SÃO JOÃO DA LAGOA</t>
  </si>
  <si>
    <t>MUNICÍPIO / UF</t>
  </si>
  <si>
    <t>BDI 2</t>
  </si>
  <si>
    <t>BDI 3</t>
  </si>
  <si>
    <t>Memória de Cálculo</t>
  </si>
  <si>
    <t>Agrupador de Eventos</t>
  </si>
  <si>
    <t>TOTAL FINANC. POR FRENTE (R$):</t>
  </si>
  <si>
    <t>FRENTE DE OBRA</t>
  </si>
  <si>
    <t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t>
  </si>
  <si>
    <t>GUIA (MEIO-FIO) E SARJETA CONJUGADOS DE CONCRETO, MOLDADA  IN LOCO  EM TRECHO RETO COM EXTRUSORA, 45 CM BASE (15 CM BASE DA GUIA + 30 CM BASE DA SARJETA) X 22 CM ALTURA. AF_01/2024</t>
  </si>
  <si>
    <t>PLANILHA DE LEVANTAMENTO DE QUANTIDADES</t>
  </si>
  <si>
    <t>Valor (R$)</t>
  </si>
  <si>
    <t>Parcelas:</t>
  </si>
  <si>
    <t>% Período:</t>
  </si>
  <si>
    <t>%:</t>
  </si>
  <si>
    <t>CFF - CRONOGRAMA FÍSICO-FINANCEIRO</t>
  </si>
  <si>
    <t>Período</t>
  </si>
  <si>
    <t>Financeiro</t>
  </si>
  <si>
    <t>Acumulado</t>
  </si>
  <si>
    <t>UNI</t>
  </si>
  <si>
    <t>M²</t>
  </si>
  <si>
    <t>M</t>
  </si>
  <si>
    <t>1.1</t>
  </si>
  <si>
    <t>1.1.1</t>
  </si>
  <si>
    <t>1.2</t>
  </si>
  <si>
    <t>1.2.1</t>
  </si>
  <si>
    <t>1.3</t>
  </si>
  <si>
    <t>1.3.1</t>
  </si>
  <si>
    <t>1.4</t>
  </si>
  <si>
    <t>1.4.1</t>
  </si>
  <si>
    <t>1.4.2</t>
  </si>
  <si>
    <t>94268</t>
  </si>
  <si>
    <t>GUIA (MEIO-FIO) E SARJETA CONJUGADOS DE CONCRETO, MOLDADA  IN LOCO  EM TRECHO CURVO COM EXTRUSORA, 45 CM BASE (15 CM BASE DA GUIA + 30 CM BASE DA SARJETA) X 22 CM ALTURA. AF_01/2024</t>
  </si>
  <si>
    <t>TOTAL</t>
  </si>
  <si>
    <t>Declaro para os devidos fins que o regime de Contribuição Previdenciária sobre a Receita Bruta adotado para elaboração do orçamento foi DESONERACAO</t>
  </si>
  <si>
    <t>PREFEITURA MUNICIPAL DE SÃO JOÃO DA LAGOA</t>
  </si>
  <si>
    <t>PAVIMENTAÇÃO</t>
  </si>
  <si>
    <t>MEIO - FIO</t>
  </si>
  <si>
    <t>RUA FELÍCIO BATISTA</t>
  </si>
  <si>
    <t>RUA LUIS FERNANDES</t>
  </si>
  <si>
    <t>RUA FILOMENO OLIVEIRA</t>
  </si>
  <si>
    <t>uni</t>
  </si>
  <si>
    <t>terça-feira, 26 de maio de 2026</t>
  </si>
  <si>
    <t>Rua Luis Fernandes:  2,29M+4,15M= 6,44 M / Rua Felício Batista: 5,11M / Rua Filomeno Oliveira:6,33M+2,1M+5,81M=14,24 M</t>
  </si>
  <si>
    <t>SICOR</t>
  </si>
  <si>
    <t>BDI 0</t>
  </si>
  <si>
    <t>Composição</t>
  </si>
  <si>
    <t>002</t>
  </si>
  <si>
    <t>102331</t>
  </si>
  <si>
    <t>TxKM</t>
  </si>
  <si>
    <t>001</t>
  </si>
  <si>
    <t>SETOP</t>
  </si>
  <si>
    <t>ED-7623</t>
  </si>
  <si>
    <t>EXECUÇÃO E APLICAÇÃO DE CONCRETO BETUMINOSO USINADO A QUENTE (CBUQ), MASSA COMERCIAL, INCLUINDO FORNECIMENTO E TRANSPORTE DOS AGREGADOS E MATERIAL BETUMINOSO, EXCLUSIVE TRANSPORTE DA MASSA ASFÁLTICA ATÉ A PISTA</t>
  </si>
  <si>
    <t>M³</t>
  </si>
  <si>
    <t>93590</t>
  </si>
  <si>
    <t>M³xKM</t>
  </si>
  <si>
    <t>IMPRIMAÇÃO E PINTURA DE LIGAÇÃO</t>
  </si>
  <si>
    <t>1.3.2</t>
  </si>
  <si>
    <t>1.3.3</t>
  </si>
  <si>
    <t>1.3.4</t>
  </si>
  <si>
    <t>1.5</t>
  </si>
  <si>
    <t>1.5.1</t>
  </si>
  <si>
    <t>1.5.2</t>
  </si>
  <si>
    <t>1.1.2</t>
  </si>
  <si>
    <t>04-26 (DES) / 01/2026</t>
  </si>
  <si>
    <t>REFERÊNCIA</t>
  </si>
  <si>
    <t>SINAPI / SICOR</t>
  </si>
  <si>
    <t>ED-50275</t>
  </si>
  <si>
    <t>LOCAÇÃO TOPOGRÁFICA DE VINTE UM (21) ATÉ CINQUENTA (50) PONTOS REFERENCIAIS, INCLUSIVE ESTACA (PIQUETE) DE MARCAÇÃO</t>
  </si>
  <si>
    <t>SUBLEITO / BASESubleito/base</t>
  </si>
  <si>
    <t>RUA SÃO SEBASTIÃO</t>
  </si>
  <si>
    <t>EXECUÇÃO DE PINTURA DE LIGAÇÃO COM EMULSÃO ASFÁLTICA RR-2C.</t>
  </si>
  <si>
    <t>PLANILHA DE COMPOSIÇÃO</t>
  </si>
  <si>
    <t>BDI</t>
  </si>
  <si>
    <t>01 - 26 (DES) / OUT-25 (DES) / FEV (26)</t>
  </si>
  <si>
    <t>COMPOSIÇÃO DE CUSTO UNITÁRIO</t>
  </si>
  <si>
    <t>SERVIÇO</t>
  </si>
  <si>
    <t>CÓDIGO</t>
  </si>
  <si>
    <t>UNIDADE</t>
  </si>
  <si>
    <t>SECRETARIA RESP.</t>
  </si>
  <si>
    <t>DATA DE ELABORAÇÃO</t>
  </si>
  <si>
    <t>M2</t>
  </si>
  <si>
    <t>OBRAS E INFRAESTRUTURA</t>
  </si>
  <si>
    <t>EQUIPAMENTO</t>
  </si>
  <si>
    <t>FONTE</t>
  </si>
  <si>
    <t>CONSUMO</t>
  </si>
  <si>
    <t>CUSTO UNITÁRIO</t>
  </si>
  <si>
    <t>CUSTO FINAL</t>
  </si>
  <si>
    <t>ESPARGIDOR DE ASFALTO PRESSURIZADO, TANQUE 6 M3 COM ISOLAÇÃO TÉRMICA, AQUECIDO COM 2 MAÇARICOS, COM BARRA ESPARGIDORA 3,60 M, MONTADO SOBRE CAMINHÃO TOCO, PBT 14.300 KG, POTÊNCIA 185 CV - CHI DIURNO. AF_05/2023</t>
  </si>
  <si>
    <t>CHI</t>
  </si>
  <si>
    <t>ESPARGIDOR DE ASFALTO PRESSURIZADO, TANQUE 6 M3 COM ISOLAÇÃO TÉRMICA, AQUECIDO COM 2 MAÇARICOS, COM BARRA ESPARGIDORA 3,60 M, MONTADO SOBRE CAMINHÃO TOCO, PBT 14.300 KG, POTÊNCIA 185 CV - CHP DIURNO. AF_05/2023</t>
  </si>
  <si>
    <t>CHP</t>
  </si>
  <si>
    <t>TRATOR DE PNEUS, POTÊNCIA 85 CV, TRAÇÃO 4X4, PESO COM LASTRO DE 4.675 KG - CHI DIURNO. AF_06/2014</t>
  </si>
  <si>
    <t>TRATOR DE PNEUS, POTÊNCIA 85 CV, TRAÇÃO 4X4, PESO COM LASTRO DE 4.675 KG - CHP DIURNO. AF_06/2014</t>
  </si>
  <si>
    <t>VASSOURA MECÂNICA REBOCÁVEL COM ESCOVA CILÍNDRICA, LARGURA ÚTIL DE VARRIMENTO DE 2,44 M - CHI DIURNO. AF_06/2014</t>
  </si>
  <si>
    <t>VASSOURA MECÂNICA REBOCÁVEL COM ESCOVA CILÍNDRICA, LARGURA ÚTIL DE VARRIMENTO DE 2,44 M - CHP DIURNO. AF_06/2014</t>
  </si>
  <si>
    <t>(A)TOTAL</t>
  </si>
  <si>
    <t>MÃO DE OBRA SUPLEMENTAR</t>
  </si>
  <si>
    <t>SERVENTE COM ENCARGOS COMPLEMENTARES</t>
  </si>
  <si>
    <t>H</t>
  </si>
  <si>
    <t>(B)TOTAL</t>
  </si>
  <si>
    <t>(C)PRODUÇÃO DA EQUIPE</t>
  </si>
  <si>
    <t>CUSTO HORÁRIO TOTAL(A + B)</t>
  </si>
  <si>
    <t>(D)CUSTO UNITÁRIO DA EXECUÇÃO</t>
  </si>
  <si>
    <t>[(A) + (B)] : (C) = (D)</t>
  </si>
  <si>
    <t>MATERIAL</t>
  </si>
  <si>
    <t>EMULSÕES ASFÁLTICAS RR-2C</t>
  </si>
  <si>
    <t>-</t>
  </si>
  <si>
    <t>ANP</t>
  </si>
  <si>
    <t>KG</t>
  </si>
  <si>
    <t>(E)TOTAL</t>
  </si>
  <si>
    <t>SERVIÇOS</t>
  </si>
  <si>
    <t>(F)TOTAL</t>
  </si>
  <si>
    <t>CUSTO UNITÁRIO TOTAL: (D) + (E) + (F) (R$)</t>
  </si>
  <si>
    <t>BDI (%)</t>
  </si>
  <si>
    <t>PREÇO UNITÁRIO (R$)</t>
  </si>
  <si>
    <t>OBS.:</t>
  </si>
  <si>
    <t>TABELAS DE REFERÊNCIA:</t>
  </si>
  <si>
    <t>SINAPI  DESONERADO - MÊS 01/2026 - DATA DE EMISSÃO: 10/02/2026</t>
  </si>
  <si>
    <t>EXECUÇÃO DE IMPRIMAÇÃO COM EMULSÃO ASFÁLTICA PARA SERVIÇO DE IMPRIMAÇÃO (EAI)</t>
  </si>
  <si>
    <t>INFRAESTRU-TURA</t>
  </si>
  <si>
    <t>7/26/2024</t>
  </si>
  <si>
    <t>EMULSÃO ASFÁLTICA PARA SERVIÇO DE IMPRIMAÇÃO</t>
  </si>
  <si>
    <t>RESPONSÁVEL PELA ELABORAÇÃO</t>
  </si>
  <si>
    <t>RESPONSÁVEL PELA PUBLICAÇÃO</t>
  </si>
  <si>
    <t>COMPOSIÇÃO BASEADA NA TABELA SINAPI CÓDIGO N° 102470 - COMPOSIÇÃO SEM CUSTO SINAPI;
O VALOR DA EMULSÃO ASFÁLTICA PARA SERVIÇO DE IMPRIMAÇÃO FOI RETIRADO DA TABELA ANP- AGÊNCIA NACIONAL DO PETRÓLEO, GÁS NATURAL E BIOCOMBUSTÍVEIS (ANP) - REGIÃO SUDESTE - FEV/26.</t>
  </si>
  <si>
    <t>COMPOSIÇÃO BASEADA NA TABELA SINAPI CÓDIGO N° 104375 - COMPOSIÇÃO SEM CUSTO SINAPI;
O VALOR DA EMULSÃO ASFÁLTICA RR-2C FOI RETIRADO DA TABELA ANP- AGÊNCIA NACIONAL DO PETRÓLEO, GÁS NATURAL E BIOCOMBUSTÍVEIS (ANP) - REGIÃO SUDESTE - FEV/26.</t>
  </si>
  <si>
    <t>SINAPI -MG / SICOR / ANP</t>
  </si>
  <si>
    <t>SERVIÇOS PRELIMINARES</t>
  </si>
  <si>
    <t>EXECUÇÃO PAVIMENTAÇÃO EM CBUQ</t>
  </si>
  <si>
    <t>MEIO-FIO / DRENAGEM</t>
  </si>
  <si>
    <t xml:space="preserve">Área retirada AUTOCAD: Rua Luis Fernandes:  622,35 M²/ Rua São Sebastião: 391,82 M² /Rua Felício Batista: 429,22 M²  / Rua Filomeno Oliveira: 950,61 M² </t>
  </si>
  <si>
    <t>Área retirada AUTOCAD: Rua Luis Fernandes:  622,35 M²  x 448Km x 0,0012 Kg/M²/ Rua São Sebastião: 391,82 M²  x 448Km x 0,0012 Kg/M² / Rua Felício Batista: 429,22 M²  x 448Km x 0,0012 Kg/M² / Rua Filomeno Oliveira: 950,61 M² x 448Km x 0,0012 Kg/M²</t>
  </si>
  <si>
    <t xml:space="preserve">Área retirada AUTOCAD: Rua Luis Fernandes:  622,35 M²/ Rua São Sebastião: 391,82 M²/ Rua Felício Batista: 429,22 M²  / Rua Filomeno Oliveira: 950,61 M² </t>
  </si>
  <si>
    <t>Área retirada AUTOCAD: Rua Luis Fernandes:  622,35 M²  x 448Km x 0,00045 Kg/M²/ Rua São Sebastião: 391,82 M²x 448Km x 0,00045 Kg/M²/ Rua Felício Batista: 429,22 M²  x 448Km x 0,00045 Kg/M² / Rua Filomeno Oliveira: 950,61 M² x 448Km x 0,00045 Kg/M²</t>
  </si>
  <si>
    <t>Área retirada AUTOCAD: Rua Luis Fernandes:  622,35 M²* 0,04 M/ Rua São Sebastião: 391,82 M²* 0,04 M/ Rua Felício Batista: 429,22 M²  * 0,04 M/ Rua Filomeno Oliveira: 950,61 M² * 0,03 M</t>
  </si>
  <si>
    <t>Rua Luis Fernandes:  90,18m+99m+10,34m = 199,52 M/ Rua São Sebastião: 64,95m+65,64m = 130,59 / Rua Felício Batista: 14,52M+63,91M+50,01M= 188,44 M/ Rua Filomeno Oliveira: 66,82M+73,62M+86,34M+80,92M= 307,70 M</t>
  </si>
  <si>
    <r>
      <t xml:space="preserve">TRANSPORTE COM CAMINHÃO BASCULANTE DE 10 M³, EM VIA URBANA PAVIMENTADA, ADICIONAL PARA DMT EXCEDENTE A 30 KM (UNIDADE: M3XKM). AF_07/2020 </t>
    </r>
    <r>
      <rPr>
        <sz val="11"/>
        <color rgb="FFFF0000"/>
        <rFont val="Aptos Narrow"/>
        <family val="2"/>
        <scheme val="minor"/>
      </rPr>
      <t>(MASSA CBUQ - USINA&gt;OBRA - DMT ATÉ 72,00KM)</t>
    </r>
  </si>
  <si>
    <r>
      <t xml:space="preserve">TRANSPORTE COM CAMINHÃO TANQUE DE TRANSPORTE DE MATERIAL ASFÁLTICO DE 30000 L, EM VIA URBANA PAVIMENTADA, ADICIONAL PARA DMT EXCEDENTE A 30 KM (UNIDADE: TXKM). AF_07/2020 </t>
    </r>
    <r>
      <rPr>
        <sz val="11"/>
        <color rgb="FFFF0000"/>
        <rFont val="Aptos Narrow"/>
        <family val="2"/>
        <scheme val="minor"/>
      </rPr>
      <t>(EMULSÃO ASFÁLTICA RR-2C PARA SERVIÇO DE PINTURA DE LIGAÇÃO - REFINARIA&gt;OBRA  - DMT EXCEDENTE Á 30,00KM - DMT TOTAL ATÉ 448,00KM)</t>
    </r>
  </si>
  <si>
    <r>
      <t xml:space="preserve">TRANSPORTE COM CAMINHÃO TANQUE DE TRANSPORTE DE MATERIAL ASFÁLTICO DE 30000 L, EM VIA URBANA PAVIMENTADA, ADICIONAL PARA DMT EXCEDENTE A 30 KM (UNIDADE: TXKM). AF_07/2020 </t>
    </r>
    <r>
      <rPr>
        <sz val="11"/>
        <color rgb="FFFF0000"/>
        <rFont val="Aptos Narrow"/>
        <family val="2"/>
        <scheme val="minor"/>
      </rPr>
      <t>(EMULSÃO ASFÁLTICA PARA SERVIÇO DE IMPRIMAÇÃO - REFINARIA&gt;OBRA - DMT EXCEDENTE À 30,00KM - DMT TOTAL ATÉ 448,00KM)</t>
    </r>
  </si>
  <si>
    <t>EXECUÇÃO DE PAVIMENTAÇÃO ASFÁLTICA EM CBUQ EM VIAS PÚBLICAS DA SEDE DO MUNICÍPIO DE SÃO JOÃO DA LAGOA/MG</t>
  </si>
  <si>
    <t>Rua Luis Fernandes:  24,89 M³ * 72 KM/ Rua São Sebastião: 15,67 M³ * 72 KM/ Rua Felício Batista: 17,17 M³ * 72 KM/ Rua Filomeno Oliveira: 28,52 M³ * 72 KM</t>
  </si>
  <si>
    <t>EXECUÇÃO DE PAVIMENTAÇÃO ASFÁLTICA EM CBUQ EM VIAS PÚBLICAS DA SEDE DO MUNICÍPIO DE SÃO JOÃO DA LAGOA/MG, CONTEMPLANDO TRECHOS DA RUA FELÍCIO BATISTA, CONTINUAÇÃO DA RUA LUIZ FERNANDES, RUA FILOMENO DE OLIVEIRA E RUA SÃO SEBASTIÃO, PT - 004683/2026 TRANSFERÊNCIA ESPECIAL ESTADUAL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</si>
</sst>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(&quot;R$ &quot;* #,##0.00_);_(&quot;R$ &quot;* \(#,##0.00\);_(&quot;R$ &quot;* \-??_);_(@_)"/>
    <numFmt numFmtId="165" formatCode="General;General"/>
    <numFmt numFmtId="166" formatCode="[$-F800]dddd\,\ mmmm\ dd\,\ yyyy"/>
    <numFmt numFmtId="167" formatCode="dd&quot; de &quot;mmmm&quot; de &quot;yyyy"/>
    <numFmt numFmtId="168" formatCode="_(* #,##0.00_);_(* \(#,##0.00\);_(* \-??_);_(@_)"/>
    <numFmt numFmtId="169" formatCode="0\."/>
    <numFmt numFmtId="170" formatCode="_-* #,##0.00_-;\-* #,##0.00_-;_-* \-??_-;_-@_-"/>
    <numFmt numFmtId="171" formatCode="_(\ #,##0.00_);_(&quot; (&quot;#,##0.00\);_(&quot; -&quot;??_);_(@_)"/>
    <numFmt numFmtId="172" formatCode="mm/yy"/>
    <numFmt numFmtId="173" formatCode="0.000"/>
    <numFmt numFmtId="174" formatCode="_-* #,##0.000_-;\-* #,##0.000_-;_-* &quot;-&quot;??_-;_-@_-"/>
    <numFmt numFmtId="175" formatCode="_(* #,##0.000_);_(* \(#,##0.000\);_(* \-??_);_(@_)"/>
    <numFmt numFmtId="176" formatCode="0.0000"/>
  </numFmts>
  <fonts count="3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2"/>
      <name val="Calibri"/>
      <family val="2"/>
    </font>
    <font>
      <i/>
      <u/>
      <sz val="12"/>
      <name val="Calibri"/>
      <family val="2"/>
    </font>
    <font>
      <u/>
      <sz val="10"/>
      <name val="Arial"/>
      <family val="2"/>
    </font>
    <font>
      <sz val="12"/>
      <name val="Arial"/>
      <family val="2"/>
    </font>
    <font>
      <sz val="11"/>
      <name val="Times New Roman"/>
      <family val="1"/>
    </font>
    <font>
      <sz val="8"/>
      <name val="Aptos Narrow"/>
      <family val="2"/>
      <scheme val="minor"/>
    </font>
    <font>
      <sz val="10"/>
      <color indexed="9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Arial"/>
      <family val="2"/>
    </font>
    <font>
      <sz val="11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Times New Roman"/>
      <family val="1"/>
    </font>
    <font>
      <b/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42"/>
      </patternFill>
    </fill>
    <fill>
      <patternFill patternType="solid">
        <fgColor indexed="22"/>
        <bgColor indexed="4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23"/>
        <bgColor indexed="55"/>
      </patternFill>
    </fill>
    <fill>
      <patternFill patternType="lightUp">
        <fgColor indexed="22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indexed="42"/>
      </patternFill>
    </fill>
    <fill>
      <patternFill patternType="solid">
        <fgColor theme="2" tint="-0.249977111117893"/>
        <bgColor indexed="26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499984740745262"/>
        <bgColor indexed="42"/>
      </patternFill>
    </fill>
    <fill>
      <patternFill patternType="solid">
        <fgColor theme="2" tint="-0.499984740745262"/>
        <bgColor indexed="26"/>
      </patternFill>
    </fill>
    <fill>
      <patternFill patternType="lightUp"/>
    </fill>
    <fill>
      <patternFill patternType="solid">
        <fgColor theme="1" tint="0.34998626667073579"/>
        <bgColor indexed="55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4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6" fillId="0" borderId="0"/>
    <xf numFmtId="164" fontId="3" fillId="0" borderId="0" applyFill="0" applyBorder="0" applyAlignment="0" applyProtection="0"/>
    <xf numFmtId="0" fontId="18" fillId="0" borderId="0"/>
    <xf numFmtId="170" fontId="3" fillId="0" borderId="0" applyFill="0" applyBorder="0" applyAlignment="0" applyProtection="0"/>
    <xf numFmtId="9" fontId="3" fillId="0" borderId="0" applyFill="0" applyBorder="0" applyAlignment="0" applyProtection="0"/>
  </cellStyleXfs>
  <cellXfs count="326">
    <xf numFmtId="0" fontId="0" fillId="0" borderId="0" xfId="0"/>
    <xf numFmtId="0" fontId="8" fillId="0" borderId="3" xfId="3" applyFont="1" applyBorder="1" applyAlignment="1">
      <alignment horizontal="center" vertical="center"/>
    </xf>
    <xf numFmtId="10" fontId="8" fillId="2" borderId="3" xfId="3" applyNumberFormat="1" applyFont="1" applyFill="1" applyBorder="1" applyAlignment="1" applyProtection="1">
      <alignment horizontal="center" vertical="center"/>
      <protection locked="0"/>
    </xf>
    <xf numFmtId="10" fontId="8" fillId="0" borderId="3" xfId="3" applyNumberFormat="1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 wrapText="1"/>
    </xf>
    <xf numFmtId="0" fontId="8" fillId="4" borderId="3" xfId="3" applyFont="1" applyFill="1" applyBorder="1" applyAlignment="1">
      <alignment horizontal="center" vertical="center" wrapText="1"/>
    </xf>
    <xf numFmtId="10" fontId="7" fillId="4" borderId="3" xfId="3" applyNumberFormat="1" applyFont="1" applyFill="1" applyBorder="1" applyAlignment="1">
      <alignment horizontal="center" vertical="center"/>
    </xf>
    <xf numFmtId="10" fontId="0" fillId="0" borderId="0" xfId="0" applyNumberFormat="1"/>
    <xf numFmtId="0" fontId="0" fillId="5" borderId="0" xfId="3" applyFont="1" applyFill="1" applyAlignment="1">
      <alignment horizontal="center" vertical="top"/>
    </xf>
    <xf numFmtId="0" fontId="11" fillId="5" borderId="0" xfId="3" applyFont="1" applyFill="1" applyAlignment="1">
      <alignment horizontal="center" vertical="top"/>
    </xf>
    <xf numFmtId="0" fontId="0" fillId="5" borderId="0" xfId="3" applyFont="1" applyFill="1"/>
    <xf numFmtId="167" fontId="0" fillId="5" borderId="0" xfId="3" applyNumberFormat="1" applyFont="1" applyFill="1"/>
    <xf numFmtId="0" fontId="5" fillId="5" borderId="5" xfId="3" applyFont="1" applyFill="1" applyBorder="1" applyAlignment="1">
      <alignment horizontal="left"/>
    </xf>
    <xf numFmtId="0" fontId="0" fillId="5" borderId="5" xfId="3" applyFont="1" applyFill="1" applyBorder="1"/>
    <xf numFmtId="0" fontId="8" fillId="5" borderId="0" xfId="3" applyFont="1" applyFill="1"/>
    <xf numFmtId="0" fontId="5" fillId="5" borderId="0" xfId="4" applyFont="1" applyFill="1" applyAlignment="1">
      <alignment horizontal="left" vertical="top"/>
    </xf>
    <xf numFmtId="0" fontId="6" fillId="5" borderId="0" xfId="3" applyFont="1" applyFill="1" applyAlignment="1">
      <alignment horizontal="left"/>
    </xf>
    <xf numFmtId="0" fontId="0" fillId="5" borderId="0" xfId="0" applyFill="1"/>
    <xf numFmtId="0" fontId="4" fillId="5" borderId="0" xfId="3" applyFont="1" applyFill="1" applyAlignment="1">
      <alignment horizontal="center"/>
    </xf>
    <xf numFmtId="0" fontId="0" fillId="5" borderId="1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0" xfId="3" applyFont="1" applyFill="1"/>
    <xf numFmtId="0" fontId="0" fillId="5" borderId="10" xfId="0" applyFill="1" applyBorder="1"/>
    <xf numFmtId="0" fontId="0" fillId="5" borderId="12" xfId="0" applyFill="1" applyBorder="1"/>
    <xf numFmtId="0" fontId="0" fillId="5" borderId="11" xfId="0" applyFill="1" applyBorder="1"/>
    <xf numFmtId="0" fontId="0" fillId="5" borderId="14" xfId="0" applyFill="1" applyBorder="1"/>
    <xf numFmtId="0" fontId="0" fillId="5" borderId="13" xfId="0" applyFill="1" applyBorder="1"/>
    <xf numFmtId="0" fontId="0" fillId="5" borderId="16" xfId="0" applyFill="1" applyBorder="1"/>
    <xf numFmtId="0" fontId="0" fillId="5" borderId="17" xfId="0" applyFill="1" applyBorder="1"/>
    <xf numFmtId="0" fontId="0" fillId="5" borderId="18" xfId="0" applyFill="1" applyBorder="1"/>
    <xf numFmtId="0" fontId="0" fillId="8" borderId="8" xfId="0" applyFill="1" applyBorder="1"/>
    <xf numFmtId="0" fontId="0" fillId="8" borderId="4" xfId="0" applyFill="1" applyBorder="1"/>
    <xf numFmtId="0" fontId="0" fillId="8" borderId="9" xfId="0" applyFill="1" applyBorder="1"/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49" fontId="5" fillId="7" borderId="19" xfId="0" applyNumberFormat="1" applyFont="1" applyFill="1" applyBorder="1" applyAlignment="1">
      <alignment horizontal="center" vertical="center"/>
    </xf>
    <xf numFmtId="168" fontId="5" fillId="7" borderId="19" xfId="1" applyNumberFormat="1" applyFont="1" applyFill="1" applyBorder="1" applyAlignment="1" applyProtection="1">
      <alignment horizontal="center" vertical="center"/>
    </xf>
    <xf numFmtId="10" fontId="5" fillId="7" borderId="19" xfId="2" applyNumberFormat="1" applyFont="1" applyFill="1" applyBorder="1" applyAlignment="1" applyProtection="1">
      <alignment horizontal="center" vertical="center"/>
    </xf>
    <xf numFmtId="168" fontId="5" fillId="7" borderId="19" xfId="1" applyNumberFormat="1" applyFont="1" applyFill="1" applyBorder="1" applyAlignment="1" applyProtection="1">
      <alignment horizontal="center" vertical="center" shrinkToFit="1"/>
    </xf>
    <xf numFmtId="49" fontId="2" fillId="13" borderId="19" xfId="0" applyNumberFormat="1" applyFont="1" applyFill="1" applyBorder="1" applyAlignment="1" applyProtection="1">
      <alignment horizontal="center" vertical="center" wrapText="1"/>
      <protection locked="0"/>
    </xf>
    <xf numFmtId="49" fontId="2" fillId="1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14" borderId="19" xfId="0" applyFont="1" applyFill="1" applyBorder="1" applyAlignment="1" applyProtection="1">
      <alignment horizontal="left" vertical="center" wrapText="1"/>
      <protection locked="0"/>
    </xf>
    <xf numFmtId="0" fontId="2" fillId="14" borderId="19" xfId="0" applyFont="1" applyFill="1" applyBorder="1" applyAlignment="1" applyProtection="1">
      <alignment horizontal="center" vertical="center" wrapText="1"/>
      <protection locked="0"/>
    </xf>
    <xf numFmtId="168" fontId="2" fillId="12" borderId="19" xfId="1" applyNumberFormat="1" applyFont="1" applyFill="1" applyBorder="1" applyAlignment="1" applyProtection="1">
      <alignment vertical="center" shrinkToFit="1"/>
    </xf>
    <xf numFmtId="43" fontId="2" fillId="14" borderId="19" xfId="1" applyFont="1" applyFill="1" applyBorder="1" applyAlignment="1" applyProtection="1">
      <alignment vertical="center" wrapText="1"/>
      <protection locked="0"/>
    </xf>
    <xf numFmtId="10" fontId="2" fillId="13" borderId="19" xfId="2" applyNumberFormat="1" applyFont="1" applyFill="1" applyBorder="1" applyAlignment="1" applyProtection="1">
      <alignment horizontal="center" vertical="center" wrapText="1"/>
      <protection locked="0"/>
    </xf>
    <xf numFmtId="168" fontId="2" fillId="12" borderId="19" xfId="1" applyNumberFormat="1" applyFont="1" applyFill="1" applyBorder="1" applyAlignment="1" applyProtection="1">
      <alignment horizontal="center" vertical="center" shrinkToFit="1"/>
    </xf>
    <xf numFmtId="0" fontId="2" fillId="9" borderId="19" xfId="0" applyFont="1" applyFill="1" applyBorder="1" applyAlignment="1">
      <alignment vertical="center" wrapText="1" shrinkToFit="1"/>
    </xf>
    <xf numFmtId="49" fontId="2" fillId="10" borderId="19" xfId="0" applyNumberFormat="1" applyFont="1" applyFill="1" applyBorder="1" applyAlignment="1" applyProtection="1">
      <alignment horizontal="center" vertical="center" wrapText="1"/>
      <protection locked="0"/>
    </xf>
    <xf numFmtId="49" fontId="2" fillId="11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11" borderId="19" xfId="0" applyFont="1" applyFill="1" applyBorder="1" applyAlignment="1" applyProtection="1">
      <alignment horizontal="left" vertical="center" wrapText="1"/>
      <protection locked="0"/>
    </xf>
    <xf numFmtId="0" fontId="2" fillId="11" borderId="19" xfId="0" applyFont="1" applyFill="1" applyBorder="1" applyAlignment="1" applyProtection="1">
      <alignment horizontal="center" vertical="center" wrapText="1"/>
      <protection locked="0"/>
    </xf>
    <xf numFmtId="168" fontId="2" fillId="9" borderId="19" xfId="1" applyNumberFormat="1" applyFont="1" applyFill="1" applyBorder="1" applyAlignment="1" applyProtection="1">
      <alignment vertical="center" shrinkToFit="1"/>
    </xf>
    <xf numFmtId="43" fontId="2" fillId="11" borderId="19" xfId="1" applyFont="1" applyFill="1" applyBorder="1" applyAlignment="1" applyProtection="1">
      <alignment vertical="center" wrapText="1"/>
      <protection locked="0"/>
    </xf>
    <xf numFmtId="10" fontId="2" fillId="10" borderId="19" xfId="2" applyNumberFormat="1" applyFont="1" applyFill="1" applyBorder="1" applyAlignment="1" applyProtection="1">
      <alignment horizontal="center" vertical="center" wrapText="1"/>
      <protection locked="0"/>
    </xf>
    <xf numFmtId="168" fontId="2" fillId="9" borderId="19" xfId="1" applyNumberFormat="1" applyFont="1" applyFill="1" applyBorder="1" applyAlignment="1" applyProtection="1">
      <alignment horizontal="center" vertical="center" shrinkToFit="1"/>
    </xf>
    <xf numFmtId="0" fontId="0" fillId="0" borderId="19" xfId="0" applyBorder="1" applyAlignment="1">
      <alignment vertical="center" wrapText="1" shrinkToFit="1"/>
    </xf>
    <xf numFmtId="49" fontId="0" fillId="3" borderId="19" xfId="0" applyNumberFormat="1" applyFill="1" applyBorder="1" applyAlignment="1" applyProtection="1">
      <alignment horizontal="center" vertical="center" wrapText="1"/>
      <protection locked="0"/>
    </xf>
    <xf numFmtId="49" fontId="0" fillId="2" borderId="19" xfId="0" applyNumberFormat="1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horizontal="left" vertical="center" wrapText="1"/>
      <protection locked="0"/>
    </xf>
    <xf numFmtId="0" fontId="0" fillId="2" borderId="19" xfId="0" applyFill="1" applyBorder="1" applyAlignment="1" applyProtection="1">
      <alignment horizontal="center" vertical="center" wrapText="1"/>
      <protection locked="0"/>
    </xf>
    <xf numFmtId="168" fontId="0" fillId="0" borderId="19" xfId="1" applyNumberFormat="1" applyFont="1" applyFill="1" applyBorder="1" applyAlignment="1" applyProtection="1">
      <alignment vertical="center" shrinkToFit="1"/>
    </xf>
    <xf numFmtId="43" fontId="0" fillId="2" borderId="19" xfId="1" applyFont="1" applyFill="1" applyBorder="1" applyAlignment="1" applyProtection="1">
      <alignment vertical="center" wrapText="1"/>
      <protection locked="0"/>
    </xf>
    <xf numFmtId="10" fontId="0" fillId="3" borderId="19" xfId="2" applyNumberFormat="1" applyFont="1" applyFill="1" applyBorder="1" applyAlignment="1" applyProtection="1">
      <alignment horizontal="center" vertical="center" wrapText="1"/>
      <protection locked="0"/>
    </xf>
    <xf numFmtId="168" fontId="0" fillId="0" borderId="19" xfId="1" applyNumberFormat="1" applyFont="1" applyFill="1" applyBorder="1" applyAlignment="1" applyProtection="1">
      <alignment horizontal="center" vertical="center" shrinkToFit="1"/>
    </xf>
    <xf numFmtId="168" fontId="0" fillId="0" borderId="0" xfId="0" applyNumberFormat="1"/>
    <xf numFmtId="0" fontId="8" fillId="5" borderId="0" xfId="0" applyFont="1" applyFill="1" applyAlignment="1">
      <alignment horizontal="left" wrapText="1"/>
    </xf>
    <xf numFmtId="0" fontId="7" fillId="5" borderId="12" xfId="3" applyFont="1" applyFill="1" applyBorder="1" applyAlignment="1">
      <alignment vertical="center"/>
    </xf>
    <xf numFmtId="0" fontId="5" fillId="5" borderId="0" xfId="0" applyFont="1" applyFill="1"/>
    <xf numFmtId="0" fontId="0" fillId="5" borderId="0" xfId="3" applyFont="1" applyFill="1" applyAlignment="1">
      <alignment vertical="center"/>
    </xf>
    <xf numFmtId="0" fontId="5" fillId="5" borderId="5" xfId="0" applyFont="1" applyFill="1" applyBorder="1"/>
    <xf numFmtId="0" fontId="0" fillId="5" borderId="5" xfId="0" applyFill="1" applyBorder="1"/>
    <xf numFmtId="0" fontId="0" fillId="5" borderId="5" xfId="3" applyFont="1" applyFill="1" applyBorder="1" applyAlignment="1">
      <alignment horizontal="left" vertical="top" wrapText="1"/>
    </xf>
    <xf numFmtId="0" fontId="0" fillId="5" borderId="5" xfId="3" applyFont="1" applyFill="1" applyBorder="1" applyAlignment="1">
      <alignment vertical="top" wrapText="1"/>
    </xf>
    <xf numFmtId="0" fontId="2" fillId="5" borderId="0" xfId="3" applyFont="1" applyFill="1" applyAlignment="1">
      <alignment vertical="top" wrapText="1"/>
    </xf>
    <xf numFmtId="0" fontId="2" fillId="5" borderId="0" xfId="3" applyFont="1" applyFill="1" applyAlignment="1">
      <alignment horizontal="center" vertical="top" wrapText="1"/>
    </xf>
    <xf numFmtId="0" fontId="2" fillId="5" borderId="21" xfId="3" applyFont="1" applyFill="1" applyBorder="1" applyAlignment="1">
      <alignment horizontal="center" vertical="top" wrapText="1"/>
    </xf>
    <xf numFmtId="0" fontId="0" fillId="5" borderId="12" xfId="3" applyFont="1" applyFill="1" applyBorder="1" applyAlignment="1">
      <alignment vertical="top" wrapText="1"/>
    </xf>
    <xf numFmtId="0" fontId="0" fillId="5" borderId="12" xfId="3" applyFont="1" applyFill="1" applyBorder="1" applyAlignment="1">
      <alignment horizontal="center" vertical="top" wrapText="1"/>
    </xf>
    <xf numFmtId="0" fontId="0" fillId="5" borderId="20" xfId="3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0" fillId="0" borderId="19" xfId="0" applyBorder="1" applyAlignment="1">
      <alignment horizontal="center" vertical="center" wrapText="1"/>
    </xf>
    <xf numFmtId="49" fontId="0" fillId="2" borderId="19" xfId="1" applyNumberFormat="1" applyFont="1" applyFill="1" applyBorder="1" applyAlignment="1" applyProtection="1">
      <alignment horizontal="left" vertical="center" wrapText="1" shrinkToFit="1"/>
      <protection locked="0"/>
    </xf>
    <xf numFmtId="0" fontId="16" fillId="0" borderId="19" xfId="1" applyNumberFormat="1" applyFont="1" applyFill="1" applyBorder="1" applyAlignment="1" applyProtection="1">
      <alignment vertical="center" wrapText="1" shrinkToFit="1"/>
    </xf>
    <xf numFmtId="43" fontId="0" fillId="2" borderId="19" xfId="1" applyFont="1" applyFill="1" applyBorder="1" applyAlignment="1" applyProtection="1">
      <alignment vertical="center" shrinkToFit="1"/>
      <protection locked="0"/>
    </xf>
    <xf numFmtId="0" fontId="5" fillId="16" borderId="19" xfId="0" applyFont="1" applyFill="1" applyBorder="1" applyAlignment="1">
      <alignment horizontal="center" vertical="center"/>
    </xf>
    <xf numFmtId="4" fontId="5" fillId="16" borderId="19" xfId="0" applyNumberFormat="1" applyFont="1" applyFill="1" applyBorder="1" applyAlignment="1">
      <alignment horizontal="right" vertical="center" shrinkToFit="1"/>
    </xf>
    <xf numFmtId="0" fontId="2" fillId="9" borderId="19" xfId="0" applyFont="1" applyFill="1" applyBorder="1" applyAlignment="1">
      <alignment horizontal="left" vertical="center" wrapText="1"/>
    </xf>
    <xf numFmtId="0" fontId="17" fillId="9" borderId="19" xfId="0" applyFont="1" applyFill="1" applyBorder="1" applyAlignment="1">
      <alignment horizontal="center" vertical="center" wrapText="1"/>
    </xf>
    <xf numFmtId="0" fontId="5" fillId="16" borderId="19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5" fillId="5" borderId="0" xfId="4" applyFont="1" applyFill="1" applyAlignment="1">
      <alignment horizontal="left" vertical="center"/>
    </xf>
    <xf numFmtId="0" fontId="0" fillId="5" borderId="0" xfId="3" applyFont="1" applyFill="1" applyAlignment="1">
      <alignment horizontal="left" vertical="center" wrapText="1"/>
    </xf>
    <xf numFmtId="0" fontId="13" fillId="5" borderId="0" xfId="5" applyNumberFormat="1" applyFont="1" applyFill="1" applyBorder="1" applyAlignment="1" applyProtection="1">
      <alignment horizontal="left" vertical="center" wrapText="1"/>
    </xf>
    <xf numFmtId="0" fontId="0" fillId="0" borderId="0" xfId="3" applyFont="1" applyAlignment="1">
      <alignment horizontal="left" vertical="center" wrapText="1"/>
    </xf>
    <xf numFmtId="0" fontId="2" fillId="9" borderId="19" xfId="0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9" xfId="0" applyBorder="1" applyAlignment="1">
      <alignment vertical="center" wrapText="1"/>
    </xf>
    <xf numFmtId="165" fontId="0" fillId="5" borderId="4" xfId="0" applyNumberFormat="1" applyFill="1" applyBorder="1" applyAlignment="1">
      <alignment vertical="center"/>
    </xf>
    <xf numFmtId="0" fontId="5" fillId="5" borderId="0" xfId="0" applyFont="1" applyFill="1" applyAlignment="1">
      <alignment vertical="center"/>
    </xf>
    <xf numFmtId="0" fontId="5" fillId="5" borderId="0" xfId="3" applyFont="1" applyFill="1" applyAlignment="1">
      <alignment vertical="center"/>
    </xf>
    <xf numFmtId="166" fontId="0" fillId="5" borderId="4" xfId="0" applyNumberFormat="1" applyFill="1" applyBorder="1" applyAlignment="1">
      <alignment horizontal="left" vertical="center"/>
    </xf>
    <xf numFmtId="0" fontId="5" fillId="5" borderId="5" xfId="0" applyFont="1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0" fillId="5" borderId="18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170" fontId="0" fillId="8" borderId="0" xfId="7" applyFont="1" applyFill="1" applyBorder="1" applyAlignment="1" applyProtection="1">
      <alignment horizontal="center" vertical="center"/>
    </xf>
    <xf numFmtId="0" fontId="19" fillId="5" borderId="19" xfId="6" applyFont="1" applyFill="1" applyBorder="1" applyAlignment="1" applyProtection="1">
      <alignment horizontal="center" vertical="center"/>
      <protection locked="0"/>
    </xf>
    <xf numFmtId="0" fontId="19" fillId="0" borderId="19" xfId="6" applyFont="1" applyBorder="1" applyAlignment="1">
      <alignment horizontal="center" vertical="center"/>
    </xf>
    <xf numFmtId="172" fontId="19" fillId="5" borderId="19" xfId="6" applyNumberFormat="1" applyFont="1" applyFill="1" applyBorder="1" applyAlignment="1" applyProtection="1">
      <alignment horizontal="center" vertical="center"/>
      <protection locked="0"/>
    </xf>
    <xf numFmtId="172" fontId="19" fillId="0" borderId="19" xfId="6" applyNumberFormat="1" applyFont="1" applyBorder="1" applyAlignment="1">
      <alignment horizontal="center" vertical="center"/>
    </xf>
    <xf numFmtId="169" fontId="20" fillId="0" borderId="19" xfId="6" applyNumberFormat="1" applyFont="1" applyBorder="1" applyAlignment="1">
      <alignment horizontal="left" vertical="center"/>
    </xf>
    <xf numFmtId="10" fontId="21" fillId="0" borderId="19" xfId="6" applyNumberFormat="1" applyFont="1" applyBorder="1" applyAlignment="1">
      <alignment horizontal="left" vertical="center" wrapText="1"/>
    </xf>
    <xf numFmtId="171" fontId="1" fillId="0" borderId="19" xfId="1" applyNumberFormat="1" applyFill="1" applyBorder="1" applyAlignment="1" applyProtection="1">
      <alignment horizontal="right" vertical="center" shrinkToFit="1"/>
    </xf>
    <xf numFmtId="171" fontId="0" fillId="0" borderId="19" xfId="1" applyNumberFormat="1" applyFont="1" applyFill="1" applyBorder="1" applyAlignment="1" applyProtection="1">
      <alignment horizontal="center" vertical="center"/>
    </xf>
    <xf numFmtId="0" fontId="20" fillId="8" borderId="0" xfId="6" applyFont="1" applyFill="1" applyAlignment="1">
      <alignment vertical="center"/>
    </xf>
    <xf numFmtId="170" fontId="0" fillId="4" borderId="19" xfId="7" applyFont="1" applyFill="1" applyBorder="1" applyAlignment="1" applyProtection="1">
      <alignment horizontal="right" vertical="center"/>
    </xf>
    <xf numFmtId="10" fontId="15" fillId="5" borderId="19" xfId="8" applyNumberFormat="1" applyFont="1" applyFill="1" applyBorder="1" applyAlignment="1" applyProtection="1">
      <alignment horizontal="center" vertical="center"/>
    </xf>
    <xf numFmtId="170" fontId="5" fillId="4" borderId="19" xfId="7" applyFont="1" applyFill="1" applyBorder="1" applyAlignment="1" applyProtection="1">
      <alignment horizontal="right" vertical="center"/>
    </xf>
    <xf numFmtId="170" fontId="22" fillId="18" borderId="19" xfId="7" applyFont="1" applyFill="1" applyBorder="1" applyAlignment="1" applyProtection="1">
      <alignment horizontal="center" vertical="center" shrinkToFit="1"/>
    </xf>
    <xf numFmtId="0" fontId="20" fillId="8" borderId="6" xfId="6" applyFont="1" applyFill="1" applyBorder="1" applyAlignment="1">
      <alignment vertical="center"/>
    </xf>
    <xf numFmtId="10" fontId="20" fillId="0" borderId="19" xfId="6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 textRotation="90" wrapText="1"/>
    </xf>
    <xf numFmtId="0" fontId="17" fillId="19" borderId="19" xfId="0" applyFont="1" applyFill="1" applyBorder="1" applyAlignment="1">
      <alignment horizontal="center" vertical="center" wrapText="1"/>
    </xf>
    <xf numFmtId="0" fontId="2" fillId="19" borderId="19" xfId="0" applyFont="1" applyFill="1" applyBorder="1" applyAlignment="1">
      <alignment horizontal="left" vertical="center" wrapText="1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173" fontId="0" fillId="0" borderId="0" xfId="0" applyNumberFormat="1" applyAlignment="1">
      <alignment vertical="center"/>
    </xf>
    <xf numFmtId="43" fontId="0" fillId="0" borderId="0" xfId="0" applyNumberFormat="1"/>
    <xf numFmtId="2" fontId="0" fillId="0" borderId="0" xfId="0" applyNumberFormat="1" applyAlignment="1">
      <alignment vertical="center"/>
    </xf>
    <xf numFmtId="174" fontId="0" fillId="2" borderId="19" xfId="1" applyNumberFormat="1" applyFont="1" applyFill="1" applyBorder="1" applyAlignment="1" applyProtection="1">
      <alignment vertical="center" shrinkToFit="1"/>
      <protection locked="0"/>
    </xf>
    <xf numFmtId="175" fontId="0" fillId="0" borderId="19" xfId="1" applyNumberFormat="1" applyFont="1" applyFill="1" applyBorder="1" applyAlignment="1" applyProtection="1">
      <alignment vertical="center" shrinkToFit="1"/>
    </xf>
    <xf numFmtId="43" fontId="0" fillId="2" borderId="25" xfId="1" applyFont="1" applyFill="1" applyBorder="1" applyAlignment="1" applyProtection="1">
      <alignment vertical="center" wrapText="1"/>
      <protection locked="0"/>
    </xf>
    <xf numFmtId="10" fontId="0" fillId="5" borderId="20" xfId="3" applyNumberFormat="1" applyFont="1" applyFill="1" applyBorder="1" applyAlignment="1">
      <alignment horizontal="center" vertical="top" wrapText="1"/>
    </xf>
    <xf numFmtId="10" fontId="15" fillId="0" borderId="19" xfId="8" applyNumberFormat="1" applyFont="1" applyFill="1" applyBorder="1" applyAlignment="1" applyProtection="1">
      <alignment horizontal="center"/>
    </xf>
    <xf numFmtId="0" fontId="0" fillId="20" borderId="19" xfId="0" applyFill="1" applyBorder="1" applyAlignment="1">
      <alignment vertical="center" wrapText="1"/>
    </xf>
    <xf numFmtId="0" fontId="2" fillId="12" borderId="19" xfId="0" applyFont="1" applyFill="1" applyBorder="1" applyAlignment="1">
      <alignment horizontal="left" vertical="center" wrapText="1" shrinkToFit="1"/>
    </xf>
    <xf numFmtId="0" fontId="3" fillId="5" borderId="0" xfId="0" applyFont="1" applyFill="1" applyAlignment="1">
      <alignment horizontal="center" vertical="center"/>
    </xf>
    <xf numFmtId="0" fontId="5" fillId="5" borderId="6" xfId="4" applyFont="1" applyFill="1" applyBorder="1" applyAlignment="1">
      <alignment vertical="top"/>
    </xf>
    <xf numFmtId="0" fontId="24" fillId="5" borderId="8" xfId="3" applyFont="1" applyFill="1" applyBorder="1" applyAlignment="1">
      <alignment vertical="top" wrapText="1"/>
    </xf>
    <xf numFmtId="0" fontId="24" fillId="5" borderId="5" xfId="3" applyFont="1" applyFill="1" applyBorder="1" applyAlignment="1">
      <alignment horizontal="left" vertical="top" wrapText="1"/>
    </xf>
    <xf numFmtId="0" fontId="24" fillId="5" borderId="5" xfId="3" applyFont="1" applyFill="1" applyBorder="1" applyAlignment="1">
      <alignment vertical="top" wrapText="1"/>
    </xf>
    <xf numFmtId="0" fontId="26" fillId="5" borderId="21" xfId="0" applyFont="1" applyFill="1" applyBorder="1"/>
    <xf numFmtId="0" fontId="26" fillId="5" borderId="14" xfId="3" applyFont="1" applyFill="1" applyBorder="1" applyAlignment="1">
      <alignment vertical="top" wrapText="1"/>
    </xf>
    <xf numFmtId="0" fontId="26" fillId="5" borderId="21" xfId="3" applyFont="1" applyFill="1" applyBorder="1" applyAlignment="1">
      <alignment horizontal="center" vertical="top" wrapText="1"/>
    </xf>
    <xf numFmtId="0" fontId="24" fillId="5" borderId="20" xfId="0" applyFont="1" applyFill="1" applyBorder="1" applyAlignment="1">
      <alignment horizontal="left" vertical="center" wrapText="1"/>
    </xf>
    <xf numFmtId="0" fontId="24" fillId="5" borderId="13" xfId="3" applyFont="1" applyFill="1" applyBorder="1" applyAlignment="1">
      <alignment vertical="center" wrapText="1"/>
    </xf>
    <xf numFmtId="10" fontId="24" fillId="5" borderId="20" xfId="3" applyNumberFormat="1" applyFont="1" applyFill="1" applyBorder="1" applyAlignment="1">
      <alignment horizontal="center" vertical="center" wrapText="1"/>
    </xf>
    <xf numFmtId="0" fontId="28" fillId="22" borderId="19" xfId="0" applyFont="1" applyFill="1" applyBorder="1" applyAlignment="1">
      <alignment horizontal="center" vertical="center" wrapText="1"/>
    </xf>
    <xf numFmtId="49" fontId="29" fillId="23" borderId="19" xfId="0" applyNumberFormat="1" applyFont="1" applyFill="1" applyBorder="1" applyAlignment="1">
      <alignment horizontal="center" vertical="center" wrapText="1"/>
    </xf>
    <xf numFmtId="0" fontId="29" fillId="23" borderId="19" xfId="0" applyFont="1" applyFill="1" applyBorder="1" applyAlignment="1">
      <alignment horizontal="center" vertical="center" wrapText="1"/>
    </xf>
    <xf numFmtId="14" fontId="29" fillId="23" borderId="19" xfId="0" applyNumberFormat="1" applyFont="1" applyFill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19" xfId="0" applyFont="1" applyBorder="1" applyAlignment="1">
      <alignment vertical="center" wrapText="1"/>
    </xf>
    <xf numFmtId="0" fontId="29" fillId="5" borderId="19" xfId="0" applyFont="1" applyFill="1" applyBorder="1" applyAlignment="1">
      <alignment horizontal="center" vertical="center" wrapText="1"/>
    </xf>
    <xf numFmtId="0" fontId="28" fillId="0" borderId="19" xfId="0" applyFont="1" applyBorder="1" applyAlignment="1">
      <alignment horizontal="right" vertical="center" wrapText="1"/>
    </xf>
    <xf numFmtId="2" fontId="28" fillId="0" borderId="19" xfId="0" applyNumberFormat="1" applyFont="1" applyBorder="1" applyAlignment="1">
      <alignment horizontal="right" wrapText="1"/>
    </xf>
    <xf numFmtId="0" fontId="28" fillId="0" borderId="19" xfId="0" applyFont="1" applyBorder="1" applyAlignment="1">
      <alignment horizontal="right" wrapText="1"/>
    </xf>
    <xf numFmtId="0" fontId="30" fillId="0" borderId="19" xfId="0" applyFont="1" applyBorder="1" applyAlignment="1">
      <alignment vertical="center" wrapText="1"/>
    </xf>
    <xf numFmtId="0" fontId="30" fillId="23" borderId="19" xfId="0" applyFont="1" applyFill="1" applyBorder="1" applyAlignment="1">
      <alignment vertical="center" wrapText="1"/>
    </xf>
    <xf numFmtId="2" fontId="28" fillId="0" borderId="19" xfId="0" applyNumberFormat="1" applyFont="1" applyBorder="1" applyAlignment="1">
      <alignment horizontal="right" vertical="center" wrapText="1"/>
    </xf>
    <xf numFmtId="0" fontId="30" fillId="5" borderId="0" xfId="0" applyFont="1" applyFill="1" applyAlignment="1">
      <alignment vertical="center" wrapText="1"/>
    </xf>
    <xf numFmtId="0" fontId="0" fillId="5" borderId="0" xfId="0" applyFill="1" applyAlignment="1">
      <alignment horizontal="center"/>
    </xf>
    <xf numFmtId="0" fontId="30" fillId="5" borderId="0" xfId="0" applyFont="1" applyFill="1" applyAlignment="1">
      <alignment horizontal="center" wrapText="1"/>
    </xf>
    <xf numFmtId="0" fontId="28" fillId="0" borderId="15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2" fontId="29" fillId="0" borderId="24" xfId="0" applyNumberFormat="1" applyFont="1" applyBorder="1" applyAlignment="1">
      <alignment horizontal="center" vertical="center" wrapText="1"/>
    </xf>
    <xf numFmtId="0" fontId="29" fillId="0" borderId="19" xfId="0" applyFont="1" applyBorder="1" applyAlignment="1">
      <alignment wrapText="1"/>
    </xf>
    <xf numFmtId="43" fontId="0" fillId="0" borderId="0" xfId="0" applyNumberFormat="1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5" fillId="5" borderId="14" xfId="4" applyFont="1" applyFill="1" applyBorder="1" applyAlignment="1">
      <alignment horizontal="left" vertical="center"/>
    </xf>
    <xf numFmtId="0" fontId="5" fillId="5" borderId="0" xfId="4" applyFont="1" applyFill="1" applyAlignment="1">
      <alignment horizontal="left" vertical="center"/>
    </xf>
    <xf numFmtId="0" fontId="5" fillId="5" borderId="14" xfId="4" applyFont="1" applyFill="1" applyBorder="1" applyAlignment="1">
      <alignment horizontal="center" vertical="center"/>
    </xf>
    <xf numFmtId="0" fontId="5" fillId="5" borderId="0" xfId="4" applyFont="1" applyFill="1" applyAlignment="1">
      <alignment horizontal="center" vertical="center"/>
    </xf>
    <xf numFmtId="0" fontId="5" fillId="5" borderId="10" xfId="4" applyFont="1" applyFill="1" applyBorder="1" applyAlignment="1">
      <alignment horizontal="center" vertical="center"/>
    </xf>
    <xf numFmtId="0" fontId="13" fillId="5" borderId="13" xfId="5" applyNumberFormat="1" applyFont="1" applyFill="1" applyBorder="1" applyAlignment="1" applyProtection="1">
      <alignment horizontal="left" vertical="center" wrapText="1"/>
    </xf>
    <xf numFmtId="0" fontId="13" fillId="5" borderId="12" xfId="5" applyNumberFormat="1" applyFont="1" applyFill="1" applyBorder="1" applyAlignment="1" applyProtection="1">
      <alignment horizontal="left" vertical="center" wrapText="1"/>
    </xf>
    <xf numFmtId="0" fontId="13" fillId="5" borderId="11" xfId="5" applyNumberFormat="1" applyFont="1" applyFill="1" applyBorder="1" applyAlignment="1" applyProtection="1">
      <alignment horizontal="left" vertical="center" wrapText="1"/>
    </xf>
    <xf numFmtId="0" fontId="3" fillId="5" borderId="0" xfId="3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17" borderId="22" xfId="0" applyFont="1" applyFill="1" applyBorder="1" applyAlignment="1">
      <alignment horizontal="left" vertical="center" wrapText="1"/>
    </xf>
    <xf numFmtId="0" fontId="2" fillId="17" borderId="23" xfId="0" applyFont="1" applyFill="1" applyBorder="1" applyAlignment="1">
      <alignment horizontal="left" vertical="center" wrapText="1"/>
    </xf>
    <xf numFmtId="0" fontId="2" fillId="17" borderId="24" xfId="0" applyFont="1" applyFill="1" applyBorder="1" applyAlignment="1">
      <alignment horizontal="left" vertical="center" wrapText="1"/>
    </xf>
    <xf numFmtId="0" fontId="0" fillId="5" borderId="13" xfId="3" applyFont="1" applyFill="1" applyBorder="1" applyAlignment="1">
      <alignment horizontal="left" vertical="center" wrapText="1"/>
    </xf>
    <xf numFmtId="0" fontId="0" fillId="5" borderId="12" xfId="3" applyFont="1" applyFill="1" applyBorder="1" applyAlignment="1">
      <alignment horizontal="left" vertical="center" wrapText="1"/>
    </xf>
    <xf numFmtId="0" fontId="0" fillId="5" borderId="0" xfId="3" applyFont="1" applyFill="1" applyAlignment="1">
      <alignment horizontal="center" vertical="center"/>
    </xf>
    <xf numFmtId="0" fontId="2" fillId="9" borderId="22" xfId="0" applyFont="1" applyFill="1" applyBorder="1" applyAlignment="1">
      <alignment horizontal="left" vertical="center"/>
    </xf>
    <xf numFmtId="0" fontId="2" fillId="9" borderId="23" xfId="0" applyFont="1" applyFill="1" applyBorder="1" applyAlignment="1">
      <alignment horizontal="left" vertical="center"/>
    </xf>
    <xf numFmtId="0" fontId="2" fillId="9" borderId="22" xfId="0" applyFont="1" applyFill="1" applyBorder="1" applyAlignment="1">
      <alignment horizontal="left" vertical="center" wrapText="1"/>
    </xf>
    <xf numFmtId="0" fontId="2" fillId="9" borderId="23" xfId="0" applyFont="1" applyFill="1" applyBorder="1" applyAlignment="1">
      <alignment horizontal="left" vertical="center" wrapText="1"/>
    </xf>
    <xf numFmtId="0" fontId="2" fillId="19" borderId="22" xfId="0" applyFont="1" applyFill="1" applyBorder="1" applyAlignment="1">
      <alignment horizontal="left" vertical="center" wrapText="1"/>
    </xf>
    <xf numFmtId="0" fontId="2" fillId="19" borderId="23" xfId="0" applyFont="1" applyFill="1" applyBorder="1" applyAlignment="1">
      <alignment horizontal="left" vertical="center" wrapText="1"/>
    </xf>
    <xf numFmtId="0" fontId="15" fillId="15" borderId="19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1" xfId="4" applyFont="1" applyFill="1" applyBorder="1" applyAlignment="1">
      <alignment horizontal="left" vertical="top"/>
    </xf>
    <xf numFmtId="0" fontId="6" fillId="5" borderId="2" xfId="5" applyNumberFormat="1" applyFont="1" applyFill="1" applyBorder="1" applyAlignment="1" applyProtection="1">
      <alignment horizontal="left" wrapText="1"/>
    </xf>
    <xf numFmtId="0" fontId="6" fillId="0" borderId="3" xfId="3" applyFont="1" applyBorder="1" applyAlignment="1">
      <alignment horizontal="left" wrapText="1"/>
    </xf>
    <xf numFmtId="10" fontId="6" fillId="2" borderId="3" xfId="3" applyNumberFormat="1" applyFont="1" applyFill="1" applyBorder="1" applyAlignment="1" applyProtection="1">
      <alignment horizontal="center"/>
      <protection locked="0"/>
    </xf>
    <xf numFmtId="0" fontId="6" fillId="0" borderId="3" xfId="3" applyFont="1" applyBorder="1" applyAlignment="1">
      <alignment horizontal="left"/>
    </xf>
    <xf numFmtId="0" fontId="0" fillId="0" borderId="3" xfId="3" applyFont="1" applyBorder="1" applyAlignment="1">
      <alignment horizontal="left" vertical="center" wrapText="1"/>
    </xf>
    <xf numFmtId="0" fontId="4" fillId="0" borderId="3" xfId="3" applyFont="1" applyBorder="1" applyAlignment="1">
      <alignment horizontal="center"/>
    </xf>
    <xf numFmtId="0" fontId="5" fillId="0" borderId="1" xfId="4" applyFont="1" applyBorder="1" applyAlignment="1">
      <alignment horizontal="left" vertical="top"/>
    </xf>
    <xf numFmtId="164" fontId="6" fillId="3" borderId="2" xfId="5" applyFont="1" applyFill="1" applyBorder="1" applyAlignment="1" applyProtection="1">
      <alignment horizontal="left"/>
      <protection locked="0"/>
    </xf>
    <xf numFmtId="0" fontId="7" fillId="0" borderId="3" xfId="3" applyFont="1" applyBorder="1" applyAlignment="1">
      <alignment horizontal="center" vertical="center"/>
    </xf>
    <xf numFmtId="4" fontId="7" fillId="0" borderId="3" xfId="3" applyNumberFormat="1" applyFont="1" applyBorder="1" applyAlignment="1">
      <alignment horizontal="center" vertical="center" wrapText="1"/>
    </xf>
    <xf numFmtId="0" fontId="6" fillId="5" borderId="3" xfId="3" applyFont="1" applyFill="1" applyBorder="1" applyAlignment="1">
      <alignment horizontal="left" vertical="center" wrapText="1"/>
    </xf>
    <xf numFmtId="0" fontId="8" fillId="4" borderId="3" xfId="3" applyFont="1" applyFill="1" applyBorder="1" applyAlignment="1">
      <alignment horizontal="left" vertical="center" wrapText="1"/>
    </xf>
    <xf numFmtId="0" fontId="6" fillId="5" borderId="0" xfId="3" applyFont="1" applyFill="1" applyAlignment="1">
      <alignment horizontal="center"/>
    </xf>
    <xf numFmtId="0" fontId="6" fillId="5" borderId="0" xfId="3" applyFont="1" applyFill="1" applyAlignment="1">
      <alignment horizontal="left"/>
    </xf>
    <xf numFmtId="0" fontId="5" fillId="5" borderId="6" xfId="4" applyFont="1" applyFill="1" applyBorder="1" applyAlignment="1">
      <alignment horizontal="left" vertical="top"/>
    </xf>
    <xf numFmtId="0" fontId="5" fillId="5" borderId="0" xfId="4" applyFont="1" applyFill="1" applyAlignment="1">
      <alignment horizontal="left" vertical="top"/>
    </xf>
    <xf numFmtId="0" fontId="5" fillId="5" borderId="7" xfId="4" applyFont="1" applyFill="1" applyBorder="1" applyAlignment="1">
      <alignment horizontal="left" vertical="top"/>
    </xf>
    <xf numFmtId="0" fontId="0" fillId="5" borderId="8" xfId="3" applyFont="1" applyFill="1" applyBorder="1" applyAlignment="1">
      <alignment horizontal="left" vertical="top" wrapText="1"/>
    </xf>
    <xf numFmtId="0" fontId="0" fillId="5" borderId="4" xfId="3" applyFont="1" applyFill="1" applyBorder="1" applyAlignment="1">
      <alignment horizontal="left" vertical="top" wrapText="1"/>
    </xf>
    <xf numFmtId="0" fontId="0" fillId="5" borderId="9" xfId="3" applyFont="1" applyFill="1" applyBorder="1" applyAlignment="1">
      <alignment horizontal="left" vertical="top" wrapText="1"/>
    </xf>
    <xf numFmtId="49" fontId="0" fillId="6" borderId="3" xfId="3" applyNumberFormat="1" applyFont="1" applyFill="1" applyBorder="1" applyAlignment="1" applyProtection="1">
      <alignment horizontal="left" vertical="top" wrapText="1"/>
      <protection locked="0"/>
    </xf>
    <xf numFmtId="165" fontId="0" fillId="5" borderId="4" xfId="3" applyNumberFormat="1" applyFont="1" applyFill="1" applyBorder="1" applyAlignment="1">
      <alignment horizontal="left"/>
    </xf>
    <xf numFmtId="166" fontId="0" fillId="5" borderId="4" xfId="3" applyNumberFormat="1" applyFont="1" applyFill="1" applyBorder="1" applyAlignment="1">
      <alignment horizontal="left"/>
    </xf>
    <xf numFmtId="0" fontId="5" fillId="5" borderId="0" xfId="3" applyFont="1" applyFill="1" applyAlignment="1">
      <alignment horizontal="left" vertical="center"/>
    </xf>
    <xf numFmtId="0" fontId="7" fillId="5" borderId="0" xfId="3" applyFont="1" applyFill="1" applyAlignment="1">
      <alignment horizontal="left" vertical="center"/>
    </xf>
    <xf numFmtId="0" fontId="0" fillId="5" borderId="5" xfId="3" applyFont="1" applyFill="1" applyBorder="1" applyAlignment="1">
      <alignment horizontal="center" vertical="center"/>
    </xf>
    <xf numFmtId="0" fontId="9" fillId="5" borderId="0" xfId="0" applyFont="1" applyFill="1" applyAlignment="1">
      <alignment horizontal="right" vertical="center"/>
    </xf>
    <xf numFmtId="0" fontId="10" fillId="5" borderId="0" xfId="0" applyFont="1" applyFill="1" applyAlignment="1">
      <alignment horizontal="center"/>
    </xf>
    <xf numFmtId="0" fontId="9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center" vertical="top"/>
    </xf>
    <xf numFmtId="0" fontId="5" fillId="7" borderId="19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 applyProtection="1">
      <alignment horizontal="left" vertical="top" wrapText="1"/>
      <protection locked="0"/>
    </xf>
    <xf numFmtId="0" fontId="3" fillId="5" borderId="0" xfId="3" applyFill="1" applyAlignment="1">
      <alignment horizontal="left"/>
    </xf>
    <xf numFmtId="0" fontId="8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165" fontId="0" fillId="5" borderId="4" xfId="0" applyNumberFormat="1" applyFill="1" applyBorder="1" applyAlignment="1">
      <alignment horizontal="left"/>
    </xf>
    <xf numFmtId="166" fontId="0" fillId="5" borderId="0" xfId="0" applyNumberFormat="1" applyFill="1" applyAlignment="1">
      <alignment horizontal="left"/>
    </xf>
    <xf numFmtId="0" fontId="1" fillId="5" borderId="6" xfId="3" applyFont="1" applyFill="1" applyBorder="1" applyAlignment="1">
      <alignment horizontal="center" vertical="top" wrapText="1"/>
    </xf>
    <xf numFmtId="0" fontId="1" fillId="5" borderId="0" xfId="3" applyFont="1" applyFill="1" applyAlignment="1">
      <alignment horizontal="center" vertical="top" wrapText="1"/>
    </xf>
    <xf numFmtId="0" fontId="1" fillId="5" borderId="7" xfId="3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2" fillId="5" borderId="14" xfId="3" applyFont="1" applyFill="1" applyBorder="1" applyAlignment="1">
      <alignment horizontal="center" vertical="top" wrapText="1"/>
    </xf>
    <xf numFmtId="0" fontId="2" fillId="5" borderId="10" xfId="3" applyFont="1" applyFill="1" applyBorder="1" applyAlignment="1">
      <alignment horizontal="center" vertical="top" wrapText="1"/>
    </xf>
    <xf numFmtId="0" fontId="0" fillId="5" borderId="13" xfId="3" applyFont="1" applyFill="1" applyBorder="1" applyAlignment="1">
      <alignment horizontal="center" vertical="top" wrapText="1"/>
    </xf>
    <xf numFmtId="0" fontId="0" fillId="5" borderId="11" xfId="3" applyFont="1" applyFill="1" applyBorder="1" applyAlignment="1">
      <alignment horizontal="center" vertical="top" wrapText="1"/>
    </xf>
    <xf numFmtId="0" fontId="13" fillId="5" borderId="8" xfId="5" applyNumberFormat="1" applyFont="1" applyFill="1" applyBorder="1" applyAlignment="1" applyProtection="1">
      <alignment horizontal="left" wrapText="1"/>
    </xf>
    <xf numFmtId="0" fontId="13" fillId="5" borderId="4" xfId="5" applyNumberFormat="1" applyFont="1" applyFill="1" applyBorder="1" applyAlignment="1" applyProtection="1">
      <alignment horizontal="left" wrapText="1"/>
    </xf>
    <xf numFmtId="0" fontId="13" fillId="5" borderId="9" xfId="5" applyNumberFormat="1" applyFont="1" applyFill="1" applyBorder="1" applyAlignment="1" applyProtection="1">
      <alignment horizontal="left" wrapText="1"/>
    </xf>
    <xf numFmtId="0" fontId="0" fillId="5" borderId="12" xfId="3" applyFont="1" applyFill="1" applyBorder="1" applyAlignment="1">
      <alignment horizontal="center" vertical="top" wrapText="1"/>
    </xf>
    <xf numFmtId="0" fontId="2" fillId="5" borderId="0" xfId="3" applyFont="1" applyFill="1" applyAlignment="1">
      <alignment horizontal="center" vertical="top" wrapText="1"/>
    </xf>
    <xf numFmtId="0" fontId="0" fillId="5" borderId="13" xfId="3" applyFont="1" applyFill="1" applyBorder="1" applyAlignment="1">
      <alignment horizontal="left" vertical="top" wrapText="1"/>
    </xf>
    <xf numFmtId="0" fontId="0" fillId="5" borderId="11" xfId="3" applyFont="1" applyFill="1" applyBorder="1" applyAlignment="1">
      <alignment horizontal="left" vertical="top" wrapText="1"/>
    </xf>
    <xf numFmtId="0" fontId="5" fillId="5" borderId="19" xfId="4" applyFont="1" applyFill="1" applyBorder="1" applyAlignment="1">
      <alignment horizontal="left" vertical="center"/>
    </xf>
    <xf numFmtId="0" fontId="13" fillId="5" borderId="19" xfId="5" applyNumberFormat="1" applyFont="1" applyFill="1" applyBorder="1" applyAlignment="1" applyProtection="1">
      <alignment horizontal="left" vertical="center" wrapText="1"/>
    </xf>
    <xf numFmtId="0" fontId="19" fillId="0" borderId="19" xfId="6" applyFont="1" applyBorder="1" applyAlignment="1">
      <alignment horizontal="center" vertical="center" wrapText="1"/>
    </xf>
    <xf numFmtId="0" fontId="19" fillId="0" borderId="19" xfId="6" applyFont="1" applyBorder="1" applyAlignment="1">
      <alignment horizontal="left" vertical="center" wrapText="1"/>
    </xf>
    <xf numFmtId="170" fontId="5" fillId="0" borderId="19" xfId="7" applyFont="1" applyFill="1" applyBorder="1" applyAlignment="1" applyProtection="1">
      <alignment horizontal="center" vertical="center" wrapText="1"/>
    </xf>
    <xf numFmtId="171" fontId="5" fillId="0" borderId="19" xfId="1" applyNumberFormat="1" applyFont="1" applyFill="1" applyBorder="1" applyAlignment="1" applyProtection="1">
      <alignment horizontal="center" vertical="center"/>
    </xf>
    <xf numFmtId="0" fontId="0" fillId="5" borderId="19" xfId="3" applyFont="1" applyFill="1" applyBorder="1" applyAlignment="1">
      <alignment horizontal="left" vertical="center" wrapText="1"/>
    </xf>
    <xf numFmtId="170" fontId="2" fillId="4" borderId="24" xfId="7" applyFont="1" applyFill="1" applyBorder="1" applyAlignment="1" applyProtection="1">
      <alignment horizontal="center" vertical="center"/>
    </xf>
    <xf numFmtId="169" fontId="20" fillId="0" borderId="0" xfId="6" applyNumberFormat="1" applyFont="1" applyAlignment="1">
      <alignment horizontal="center" vertical="center"/>
    </xf>
    <xf numFmtId="0" fontId="30" fillId="21" borderId="19" xfId="0" applyFont="1" applyFill="1" applyBorder="1" applyAlignment="1">
      <alignment vertical="center" wrapText="1"/>
    </xf>
    <xf numFmtId="0" fontId="0" fillId="5" borderId="16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5" fillId="5" borderId="0" xfId="0" applyFont="1" applyFill="1" applyAlignment="1">
      <alignment horizontal="center" vertical="center"/>
    </xf>
    <xf numFmtId="0" fontId="0" fillId="5" borderId="10" xfId="0" applyFill="1" applyBorder="1" applyAlignment="1">
      <alignment horizontal="center"/>
    </xf>
    <xf numFmtId="0" fontId="3" fillId="5" borderId="0" xfId="0" applyFont="1" applyFill="1" applyAlignment="1">
      <alignment horizontal="center" vertical="center"/>
    </xf>
    <xf numFmtId="0" fontId="5" fillId="5" borderId="14" xfId="4" applyFont="1" applyFill="1" applyBorder="1" applyAlignment="1">
      <alignment horizontal="center" vertical="top"/>
    </xf>
    <xf numFmtId="0" fontId="5" fillId="5" borderId="0" xfId="4" applyFont="1" applyFill="1" applyAlignment="1">
      <alignment horizontal="center" vertical="top"/>
    </xf>
    <xf numFmtId="0" fontId="5" fillId="5" borderId="10" xfId="4" applyFont="1" applyFill="1" applyBorder="1" applyAlignment="1">
      <alignment horizontal="center" vertical="top"/>
    </xf>
    <xf numFmtId="0" fontId="25" fillId="5" borderId="26" xfId="5" applyNumberFormat="1" applyFont="1" applyFill="1" applyBorder="1" applyAlignment="1" applyProtection="1">
      <alignment horizontal="left" vertical="top" wrapText="1"/>
    </xf>
    <xf numFmtId="0" fontId="25" fillId="5" borderId="4" xfId="5" applyNumberFormat="1" applyFont="1" applyFill="1" applyBorder="1" applyAlignment="1" applyProtection="1">
      <alignment horizontal="left" vertical="top" wrapText="1"/>
    </xf>
    <xf numFmtId="0" fontId="25" fillId="5" borderId="27" xfId="5" applyNumberFormat="1" applyFont="1" applyFill="1" applyBorder="1" applyAlignment="1" applyProtection="1">
      <alignment horizontal="left" vertical="top" wrapText="1"/>
    </xf>
    <xf numFmtId="0" fontId="26" fillId="5" borderId="14" xfId="3" applyFont="1" applyFill="1" applyBorder="1" applyAlignment="1">
      <alignment horizontal="center" vertical="top" wrapText="1"/>
    </xf>
    <xf numFmtId="0" fontId="26" fillId="5" borderId="0" xfId="3" applyFont="1" applyFill="1" applyAlignment="1">
      <alignment horizontal="center" vertical="top" wrapText="1"/>
    </xf>
    <xf numFmtId="0" fontId="26" fillId="5" borderId="10" xfId="3" applyFont="1" applyFill="1" applyBorder="1" applyAlignment="1">
      <alignment horizontal="center" vertical="top" wrapText="1"/>
    </xf>
    <xf numFmtId="0" fontId="24" fillId="5" borderId="13" xfId="3" applyFont="1" applyFill="1" applyBorder="1" applyAlignment="1">
      <alignment horizontal="center" vertical="center" wrapText="1"/>
    </xf>
    <xf numFmtId="0" fontId="24" fillId="5" borderId="12" xfId="3" applyFont="1" applyFill="1" applyBorder="1" applyAlignment="1">
      <alignment horizontal="center" vertical="center" wrapText="1"/>
    </xf>
    <xf numFmtId="0" fontId="24" fillId="5" borderId="11" xfId="3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27" fillId="21" borderId="19" xfId="0" applyFont="1" applyFill="1" applyBorder="1" applyAlignment="1">
      <alignment horizontal="center" vertical="center" wrapText="1"/>
    </xf>
    <xf numFmtId="0" fontId="28" fillId="22" borderId="19" xfId="0" applyFont="1" applyFill="1" applyBorder="1" applyAlignment="1">
      <alignment horizontal="center" vertical="center" wrapText="1"/>
    </xf>
    <xf numFmtId="0" fontId="29" fillId="23" borderId="19" xfId="0" applyFont="1" applyFill="1" applyBorder="1" applyAlignment="1">
      <alignment vertical="center" wrapText="1"/>
    </xf>
    <xf numFmtId="0" fontId="28" fillId="0" borderId="19" xfId="0" applyFont="1" applyBorder="1" applyAlignment="1">
      <alignment horizontal="right" vertical="center" wrapText="1"/>
    </xf>
    <xf numFmtId="0" fontId="29" fillId="23" borderId="19" xfId="0" applyFont="1" applyFill="1" applyBorder="1" applyAlignment="1">
      <alignment horizontal="center" vertical="center" wrapText="1"/>
    </xf>
    <xf numFmtId="0" fontId="28" fillId="0" borderId="22" xfId="0" applyFont="1" applyBorder="1" applyAlignment="1">
      <alignment horizontal="left" wrapText="1"/>
    </xf>
    <xf numFmtId="0" fontId="28" fillId="0" borderId="23" xfId="0" applyFont="1" applyBorder="1" applyAlignment="1">
      <alignment horizontal="left" wrapText="1"/>
    </xf>
    <xf numFmtId="0" fontId="28" fillId="0" borderId="24" xfId="0" applyFont="1" applyBorder="1" applyAlignment="1">
      <alignment horizontal="left" wrapText="1"/>
    </xf>
    <xf numFmtId="0" fontId="29" fillId="23" borderId="15" xfId="0" applyFont="1" applyFill="1" applyBorder="1" applyAlignment="1">
      <alignment vertical="center" wrapText="1"/>
    </xf>
    <xf numFmtId="0" fontId="31" fillId="0" borderId="16" xfId="0" applyFont="1" applyBorder="1" applyAlignment="1">
      <alignment horizontal="left" vertical="center" wrapText="1"/>
    </xf>
    <xf numFmtId="0" fontId="31" fillId="0" borderId="17" xfId="0" applyFont="1" applyBorder="1" applyAlignment="1">
      <alignment horizontal="left" vertical="center" wrapText="1"/>
    </xf>
    <xf numFmtId="0" fontId="31" fillId="0" borderId="18" xfId="0" applyFont="1" applyBorder="1" applyAlignment="1">
      <alignment horizontal="left" vertical="center" wrapText="1"/>
    </xf>
    <xf numFmtId="0" fontId="32" fillId="0" borderId="19" xfId="0" applyFont="1" applyBorder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0" fontId="0" fillId="5" borderId="13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30" fillId="0" borderId="19" xfId="0" applyFont="1" applyBorder="1" applyAlignment="1">
      <alignment wrapText="1"/>
    </xf>
    <xf numFmtId="0" fontId="32" fillId="0" borderId="16" xfId="0" applyFont="1" applyBorder="1" applyAlignment="1">
      <alignment horizontal="left" vertical="center" wrapText="1"/>
    </xf>
    <xf numFmtId="0" fontId="32" fillId="0" borderId="17" xfId="0" applyFont="1" applyBorder="1" applyAlignment="1">
      <alignment horizontal="left" vertical="center" wrapText="1"/>
    </xf>
    <xf numFmtId="0" fontId="32" fillId="0" borderId="18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2" fillId="0" borderId="10" xfId="0" applyFont="1" applyBorder="1" applyAlignment="1">
      <alignment horizontal="left" vertical="center" wrapText="1"/>
    </xf>
    <xf numFmtId="0" fontId="32" fillId="0" borderId="13" xfId="0" applyFont="1" applyBorder="1" applyAlignment="1">
      <alignment horizontal="left" vertical="center" wrapText="1"/>
    </xf>
    <xf numFmtId="0" fontId="32" fillId="0" borderId="12" xfId="0" applyFont="1" applyBorder="1" applyAlignment="1">
      <alignment horizontal="left" vertical="center" wrapText="1"/>
    </xf>
    <xf numFmtId="0" fontId="32" fillId="0" borderId="11" xfId="0" applyFont="1" applyBorder="1" applyAlignment="1">
      <alignment horizontal="left" vertical="center" wrapTex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0" fillId="0" borderId="19" xfId="0" applyFont="1" applyBorder="1" applyAlignment="1">
      <alignment vertical="center" wrapText="1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</cellXfs>
  <cellStyles count="9">
    <cellStyle name="Moeda_Composicao BDI v2.1" xfId="5" xr:uid="{77E6601F-97A9-4825-9466-8DA052584CDF}"/>
    <cellStyle name="Normal" xfId="0" builtinId="0"/>
    <cellStyle name="Normal 2" xfId="3" xr:uid="{3FE8E9BA-E88B-410F-AAEC-2B610338A376}"/>
    <cellStyle name="Normal 3" xfId="6" xr:uid="{DB485E2D-25B6-4E75-981B-8CC174FAE600}"/>
    <cellStyle name="Normal_FICHA DE VERIFICAÇÃO PRELIMINAR - Plano R" xfId="4" xr:uid="{44D01A67-047D-449D-8928-C3603CE7E120}"/>
    <cellStyle name="Porcentagem" xfId="2" builtinId="5"/>
    <cellStyle name="Porcentagem 2" xfId="8" xr:uid="{1024FC5D-2FF1-48D8-A15F-35E89DEDA41C}"/>
    <cellStyle name="Vírgula" xfId="1" builtinId="3"/>
    <cellStyle name="Vírgula 2" xfId="7" xr:uid="{41EF5ADF-E518-4D51-9D78-6981B4CDB70A}"/>
  </cellStyles>
  <dxfs count="49"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ill>
        <patternFill patternType="solid">
          <fgColor indexed="26"/>
          <bgColor indexed="43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 style="thin">
          <color indexed="64"/>
        </top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840</xdr:colOff>
          <xdr:row>39</xdr:row>
          <xdr:rowOff>128869</xdr:rowOff>
        </xdr:from>
        <xdr:to>
          <xdr:col>8</xdr:col>
          <xdr:colOff>31523</xdr:colOff>
          <xdr:row>60</xdr:row>
          <xdr:rowOff>62194</xdr:rowOff>
        </xdr:to>
        <xdr:pic>
          <xdr:nvPicPr>
            <xdr:cNvPr id="3" name="Imagem 2">
              <a:extLst>
                <a:ext uri="{FF2B5EF4-FFF2-40B4-BE49-F238E27FC236}">
                  <a16:creationId xmlns:a16="http://schemas.microsoft.com/office/drawing/2014/main" id="{E8A7C9F3-326D-41C0-8636-00219C7F718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514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8928" y="11895045"/>
              <a:ext cx="8311830" cy="39338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1</xdr:col>
      <xdr:colOff>27216</xdr:colOff>
      <xdr:row>135</xdr:row>
      <xdr:rowOff>126466</xdr:rowOff>
    </xdr:from>
    <xdr:to>
      <xdr:col>8</xdr:col>
      <xdr:colOff>27215</xdr:colOff>
      <xdr:row>151</xdr:row>
      <xdr:rowOff>33061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DFC94FE-3F76-40CB-B026-6A058C3AB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304" y="34001848"/>
          <a:ext cx="8281146" cy="2954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44263</xdr:colOff>
      <xdr:row>63</xdr:row>
      <xdr:rowOff>90768</xdr:rowOff>
    </xdr:from>
    <xdr:to>
      <xdr:col>8</xdr:col>
      <xdr:colOff>27244</xdr:colOff>
      <xdr:row>84</xdr:row>
      <xdr:rowOff>123264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EE19DF7F-965E-D943-CD56-BEE0E6DCF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2351" y="16428944"/>
          <a:ext cx="8264128" cy="4032996"/>
        </a:xfrm>
        <a:prstGeom prst="rect">
          <a:avLst/>
        </a:prstGeom>
      </xdr:spPr>
    </xdr:pic>
    <xdr:clientData/>
  </xdr:twoCellAnchor>
  <xdr:twoCellAnchor editAs="oneCell">
    <xdr:from>
      <xdr:col>1</xdr:col>
      <xdr:colOff>11207</xdr:colOff>
      <xdr:row>151</xdr:row>
      <xdr:rowOff>145675</xdr:rowOff>
    </xdr:from>
    <xdr:to>
      <xdr:col>8</xdr:col>
      <xdr:colOff>78442</xdr:colOff>
      <xdr:row>171</xdr:row>
      <xdr:rowOff>170338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2AD599A-A5D9-C15C-4A88-932355245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9295" y="37069057"/>
          <a:ext cx="8348382" cy="38346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PAVIMENTA&#199;&#195;O%202025%20-%20400%20MIL/FINAL/Pavimenta&#231;&#227;o%202%20S&#227;o%20Jo&#227;o%20da%20Lagoa%20MG.xls" TargetMode="External"/><Relationship Id="rId2" Type="http://schemas.openxmlformats.org/officeDocument/2006/relationships/externalLinkPath" Target="file:///D:\PREFEITURA\PAVIMENTA&#199;&#195;O%202025%20-%20400%20MIL\FINAL\Pavimenta&#231;&#227;o%202%20S&#227;o%20Jo&#227;o%20da%20Lagoa%20MG.xls" TargetMode="External"/><Relationship Id="rId1" Type="http://schemas.openxmlformats.org/officeDocument/2006/relationships/externalLinkPath" Target="/PREFEITURA/PAVIMENTA&#199;&#195;O%202025%20-%20400%20MIL/FINAL/Pavimenta&#231;&#227;o%202%20S&#227;o%20Jo&#227;o%20da%20Lagoa%20MG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BOA%20VISTA%20DO%20PACU&#205;/PLANILHA%20OR&#199;AMENT&#193;RIA%20-%20VALOR%20M&#201;DIO%20PAVIMENTA&#199;&#195;O%20BOA%20VISTA%20DO%20PACU&#205;.xlsx" TargetMode="External"/><Relationship Id="rId2" Type="http://schemas.openxmlformats.org/officeDocument/2006/relationships/externalLinkPath" Target="file:///D:\PREFEITURA\OBRAS%202026\BOA%20VISTA%20DO%20PACU&#205;\PLANILHA%20OR&#199;AMENT&#193;RIA%20-%20VALOR%20M&#201;DIO%20PAVIMENTA&#199;&#195;O%20BOA%20VISTA%20DO%20PACU&#205;.xlsx" TargetMode="External"/><Relationship Id="rId1" Type="http://schemas.openxmlformats.org/officeDocument/2006/relationships/externalLinkPath" Target="/PREFEITURA/OBRAS%202026/BOA%20VISTA%20DO%20PACU&#205;/PLANILHA%20OR&#199;AMENT&#193;RIA%20-%20VALOR%20M&#201;DIO%20PAVIMENTA&#199;&#195;O%20BOA%20VISTA%20DO%20PACU&#205;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AVIMENTA&#199;&#195;O%20S&#195;O%20ROBERTO/LICITA&#199;&#195;O/PLANILHA%20OR&#199;AMENT&#193;RIA%20-%20EXCEL.xlsx" TargetMode="External"/><Relationship Id="rId2" Type="http://schemas.openxmlformats.org/officeDocument/2006/relationships/externalLinkPath" Target="file:///D:\PREFEITURA\OBRAS%202026\PAVIMENTA&#199;&#195;O%20S&#195;O%20ROBERTO\LICITA&#199;&#195;O\PLANILHA%20OR&#199;AMENT&#193;RIA%20-%20EXCEL.xlsx" TargetMode="External"/><Relationship Id="rId1" Type="http://schemas.openxmlformats.org/officeDocument/2006/relationships/externalLinkPath" Target="/PREFEITURA/OBRAS%202026/PAVIMENTA&#199;&#195;O%20S&#195;O%20ROBERTO/LICITA&#199;&#195;O/PLANILHA%20OR&#199;AMENT&#193;RIA%20-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>
        <row r="3">
          <cell r="O3">
            <v>1</v>
          </cell>
        </row>
        <row r="4">
          <cell r="O4">
            <v>1</v>
          </cell>
        </row>
      </sheetData>
      <sheetData sheetId="1">
        <row r="4">
          <cell r="F4" t="str">
            <v>(SELECIONAR)</v>
          </cell>
        </row>
        <row r="5">
          <cell r="F5" t="str">
            <v>Prefeitura Municipal de São João da Lagoa</v>
          </cell>
        </row>
        <row r="6">
          <cell r="F6" t="str">
            <v>São João da Lagoa  MG</v>
          </cell>
        </row>
        <row r="16">
          <cell r="F16" t="str">
            <v xml:space="preserve">EXECUÇÃO DE PAVIMENTAÇÃO EM BLOCO SEXTAVADO DE CONCRETO DE VIAS URBANAS E RURAIS NO MUNICÍPIO DE SÃO JOÃO DA LAGOA/MG </v>
          </cell>
        </row>
        <row r="17">
          <cell r="F17" t="str">
            <v xml:space="preserve">EXECUÇÃO DE PAVIMENTAÇÃO EM BLOCO SEXTAVADO DE CONCRETO DE VIAS URBANAS E RURAIS NO MUNICÍPIO DE SÃO JOÃO DA LAGOA/MG </v>
          </cell>
        </row>
        <row r="18">
          <cell r="F18" t="str">
            <v>DESONERADO</v>
          </cell>
        </row>
        <row r="22">
          <cell r="F22" t="str">
            <v>LEONARDO PETERSON AMARAL LIMA</v>
          </cell>
        </row>
        <row r="23">
          <cell r="F23" t="str">
            <v>331.073/D</v>
          </cell>
        </row>
        <row r="24">
          <cell r="F24" t="str">
            <v>MG20253837048</v>
          </cell>
        </row>
      </sheetData>
      <sheetData sheetId="2"/>
      <sheetData sheetId="3">
        <row r="138">
          <cell r="A138" t="str">
            <v>(SELECIONAR)</v>
          </cell>
        </row>
        <row r="139">
          <cell r="A139" t="str">
            <v>Construção e Reforma de Edifícios</v>
          </cell>
        </row>
        <row r="140">
          <cell r="A140" t="str">
            <v>Construção de Praças Urbanas, Rodovias, Ferrovias e recapeamento e pavimentação de vias urbanas</v>
          </cell>
        </row>
        <row r="141">
          <cell r="A141" t="str">
            <v>Construção de Redes de Abastecimento de Água, Coleta de Esgoto</v>
          </cell>
        </row>
        <row r="142">
          <cell r="A142" t="str">
            <v>Construção e Manutenção de Estações e Redes de Distribuição de Energia Elétrica</v>
          </cell>
        </row>
        <row r="143">
          <cell r="A143" t="str">
            <v>Obras Portuárias, Marítimas e Fluviais</v>
          </cell>
        </row>
        <row r="144">
          <cell r="A144" t="str">
            <v>Fornecimento de Materiais e Equipamentos (aquisição indireta - em conjunto com licitação de obras)</v>
          </cell>
        </row>
        <row r="145">
          <cell r="A145" t="str">
            <v>Fornecimento de Materiais e Equipamentos (aquisição direta)</v>
          </cell>
        </row>
        <row r="146">
          <cell r="A146" t="str">
            <v>Estudos e Projetos, Planos e Gerenciamento e outros correlatos</v>
          </cell>
        </row>
      </sheetData>
      <sheetData sheetId="4"/>
      <sheetData sheetId="5">
        <row r="15">
          <cell r="M15">
            <v>1</v>
          </cell>
          <cell r="Q15">
            <v>104822.83</v>
          </cell>
        </row>
        <row r="16">
          <cell r="M16" t="str">
            <v/>
          </cell>
        </row>
        <row r="17">
          <cell r="M17" t="str">
            <v/>
          </cell>
        </row>
        <row r="18">
          <cell r="M18">
            <v>2</v>
          </cell>
        </row>
        <row r="19">
          <cell r="M19">
            <v>2</v>
          </cell>
        </row>
        <row r="20">
          <cell r="M20" t="str">
            <v/>
          </cell>
        </row>
        <row r="21">
          <cell r="M21">
            <v>3</v>
          </cell>
        </row>
        <row r="22">
          <cell r="M22" t="str">
            <v/>
          </cell>
        </row>
        <row r="23">
          <cell r="M23">
            <v>4</v>
          </cell>
        </row>
        <row r="24">
          <cell r="M24" t="str">
            <v/>
          </cell>
        </row>
        <row r="25">
          <cell r="M25">
            <v>5</v>
          </cell>
        </row>
        <row r="26">
          <cell r="M26">
            <v>5</v>
          </cell>
        </row>
      </sheetData>
      <sheetData sheetId="6">
        <row r="15">
          <cell r="B15" t="str">
            <v>1.Administração Local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DI"/>
      <sheetName val="ORÇAMENTO"/>
      <sheetName val="CRONOGRAMA"/>
      <sheetName val="MEMÓRIA DE CÁLCULO"/>
      <sheetName val="COMPOSIÇÃO"/>
      <sheetName val="REFERÊNCIA"/>
    </sheetNames>
    <sheetDataSet>
      <sheetData sheetId="0"/>
      <sheetData sheetId="1"/>
      <sheetData sheetId="2"/>
      <sheetData sheetId="3">
        <row r="13">
          <cell r="F13">
            <v>1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DI"/>
      <sheetName val="ORÇAMENTO"/>
      <sheetName val="CRONOGRAMA"/>
      <sheetName val="MEMÓRIA DE CÁLCULO"/>
      <sheetName val="COMPOSIÇÃO"/>
      <sheetName val="REFERÊNCIA"/>
    </sheetNames>
    <sheetDataSet>
      <sheetData sheetId="0">
        <row r="28">
          <cell r="I28"/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D0994-C249-443D-8B26-62C364C4E26F}">
  <dimension ref="A1:N51"/>
  <sheetViews>
    <sheetView workbookViewId="0">
      <selection activeCell="M22" sqref="M22"/>
    </sheetView>
  </sheetViews>
  <sheetFormatPr defaultRowHeight="15" x14ac:dyDescent="0.25"/>
  <cols>
    <col min="1" max="1" width="2.7109375" customWidth="1"/>
    <col min="2" max="7" width="10.7109375" customWidth="1"/>
    <col min="8" max="8" width="12.85546875" customWidth="1"/>
    <col min="9" max="11" width="10.7109375" customWidth="1"/>
    <col min="12" max="12" width="2.7109375" customWidth="1"/>
  </cols>
  <sheetData>
    <row r="1" spans="1:12" ht="4.5" customHeight="1" x14ac:dyDescent="0.25">
      <c r="A1" s="27"/>
      <c r="B1" s="28"/>
      <c r="C1" s="28"/>
      <c r="D1" s="28"/>
      <c r="E1" s="28"/>
      <c r="F1" s="28"/>
      <c r="G1" s="28"/>
      <c r="H1" s="28"/>
      <c r="I1" s="28"/>
      <c r="J1" s="28"/>
      <c r="K1" s="28"/>
      <c r="L1" s="29"/>
    </row>
    <row r="2" spans="1:12" ht="15.75" x14ac:dyDescent="0.25">
      <c r="A2" s="25"/>
      <c r="B2" s="10"/>
      <c r="C2" s="10"/>
      <c r="D2" s="10"/>
      <c r="E2" s="10"/>
      <c r="F2" s="10"/>
      <c r="G2" s="18" t="str">
        <f>"Quadro de Composição do BDI"</f>
        <v>Quadro de Composição do BDI</v>
      </c>
      <c r="H2" s="10"/>
      <c r="I2" s="10"/>
      <c r="J2" s="203" t="s">
        <v>0</v>
      </c>
      <c r="K2" s="203"/>
      <c r="L2" s="22"/>
    </row>
    <row r="3" spans="1:12" x14ac:dyDescent="0.25">
      <c r="A3" s="25"/>
      <c r="B3" s="10"/>
      <c r="C3" s="10"/>
      <c r="D3" s="10"/>
      <c r="E3" s="10"/>
      <c r="F3" s="10"/>
      <c r="G3" s="10"/>
      <c r="H3" s="10"/>
      <c r="I3" s="10"/>
      <c r="J3" s="204" t="s">
        <v>1</v>
      </c>
      <c r="K3" s="204"/>
      <c r="L3" s="22"/>
    </row>
    <row r="4" spans="1:12" x14ac:dyDescent="0.25">
      <c r="A4" s="25"/>
      <c r="B4" s="10"/>
      <c r="C4" s="10"/>
      <c r="D4" s="10"/>
      <c r="E4" s="10"/>
      <c r="F4" s="10"/>
      <c r="G4" s="10"/>
      <c r="H4" s="10"/>
      <c r="I4" s="10"/>
      <c r="J4" s="10"/>
      <c r="K4" s="10"/>
      <c r="L4" s="22"/>
    </row>
    <row r="5" spans="1:12" x14ac:dyDescent="0.25">
      <c r="A5" s="25"/>
      <c r="B5" s="220" t="s">
        <v>2</v>
      </c>
      <c r="C5" s="221"/>
      <c r="D5" s="221"/>
      <c r="E5" s="221"/>
      <c r="F5" s="221"/>
      <c r="G5" s="221"/>
      <c r="H5" s="221"/>
      <c r="I5" s="221"/>
      <c r="J5" s="221"/>
      <c r="K5" s="222"/>
      <c r="L5" s="22"/>
    </row>
    <row r="6" spans="1:12" ht="15" customHeight="1" x14ac:dyDescent="0.25">
      <c r="A6" s="25"/>
      <c r="B6" s="223" t="s">
        <v>105</v>
      </c>
      <c r="C6" s="224"/>
      <c r="D6" s="224"/>
      <c r="E6" s="224"/>
      <c r="F6" s="224"/>
      <c r="G6" s="224"/>
      <c r="H6" s="224"/>
      <c r="I6" s="224"/>
      <c r="J6" s="224"/>
      <c r="K6" s="225"/>
      <c r="L6" s="22"/>
    </row>
    <row r="7" spans="1:12" x14ac:dyDescent="0.25">
      <c r="A7" s="25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x14ac:dyDescent="0.25">
      <c r="A8" s="25"/>
      <c r="B8" s="205" t="s">
        <v>45</v>
      </c>
      <c r="C8" s="205"/>
      <c r="D8" s="205"/>
      <c r="E8" s="205"/>
      <c r="F8" s="205"/>
      <c r="G8" s="205"/>
      <c r="H8" s="205"/>
      <c r="I8" s="205"/>
      <c r="J8" s="205"/>
      <c r="K8" s="205"/>
      <c r="L8" s="22"/>
    </row>
    <row r="9" spans="1:12" ht="41.25" customHeight="1" x14ac:dyDescent="0.25">
      <c r="A9" s="25"/>
      <c r="B9" s="206" t="str">
        <f>ORÇAMENTO!E5</f>
        <v>EXECUÇÃO DE PAVIMENTAÇÃO ASFÁLTICA EM CBUQ EM VIAS PÚBLICAS DA SEDE DO MUNICÍPIO DE SÃO JOÃO DA LAGOA/MG, CONTEMPLANDO TRECHOS DA RUA FELÍCIO BATISTA, CONTINUAÇÃO DA RUA LUIZ FERNANDES, RUA FILOMENO DE OLIVEIRA E RUA SÃO SEBASTIÃO, PT - 004683/2026 TRANSFERÊNCIA ESPECIAL ESTADUAL</v>
      </c>
      <c r="C9" s="206"/>
      <c r="D9" s="206"/>
      <c r="E9" s="206"/>
      <c r="F9" s="206"/>
      <c r="G9" s="206"/>
      <c r="H9" s="206"/>
      <c r="I9" s="206"/>
      <c r="J9" s="206"/>
      <c r="K9" s="206"/>
      <c r="L9" s="22"/>
    </row>
    <row r="10" spans="1:12" x14ac:dyDescent="0.25">
      <c r="A10" s="25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2"/>
    </row>
    <row r="11" spans="1:12" x14ac:dyDescent="0.25">
      <c r="A11" s="25"/>
      <c r="B11" s="207" t="s">
        <v>3</v>
      </c>
      <c r="C11" s="207"/>
      <c r="D11" s="207"/>
      <c r="E11" s="207"/>
      <c r="F11" s="207"/>
      <c r="G11" s="207"/>
      <c r="H11" s="207"/>
      <c r="I11" s="207"/>
      <c r="J11" s="208">
        <v>1</v>
      </c>
      <c r="K11" s="208"/>
      <c r="L11" s="22"/>
    </row>
    <row r="12" spans="1:12" x14ac:dyDescent="0.25">
      <c r="A12" s="25"/>
      <c r="B12" s="209" t="s">
        <v>4</v>
      </c>
      <c r="C12" s="209"/>
      <c r="D12" s="209"/>
      <c r="E12" s="209"/>
      <c r="F12" s="209"/>
      <c r="G12" s="209"/>
      <c r="H12" s="209"/>
      <c r="I12" s="209"/>
      <c r="J12" s="208">
        <v>0.05</v>
      </c>
      <c r="K12" s="208"/>
      <c r="L12" s="22"/>
    </row>
    <row r="13" spans="1:12" x14ac:dyDescent="0.25">
      <c r="A13" s="2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22"/>
    </row>
    <row r="14" spans="1:12" ht="15.75" x14ac:dyDescent="0.25">
      <c r="A14" s="25"/>
      <c r="B14" s="211" t="s">
        <v>5</v>
      </c>
      <c r="C14" s="211"/>
      <c r="D14" s="211"/>
      <c r="E14" s="211"/>
      <c r="F14" s="211"/>
      <c r="G14" s="211"/>
      <c r="H14" s="211"/>
      <c r="I14" s="211"/>
      <c r="J14" s="211"/>
      <c r="K14" s="211"/>
      <c r="L14" s="22"/>
    </row>
    <row r="15" spans="1:12" x14ac:dyDescent="0.25">
      <c r="A15" s="25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22"/>
    </row>
    <row r="16" spans="1:12" x14ac:dyDescent="0.25">
      <c r="A16" s="25"/>
      <c r="B16" s="212" t="s">
        <v>6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2"/>
    </row>
    <row r="17" spans="1:14" x14ac:dyDescent="0.25">
      <c r="A17" s="25"/>
      <c r="B17" s="213" t="s">
        <v>7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2"/>
    </row>
    <row r="18" spans="1:14" x14ac:dyDescent="0.25">
      <c r="A18" s="25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22"/>
    </row>
    <row r="19" spans="1:14" x14ac:dyDescent="0.25">
      <c r="A19" s="25"/>
      <c r="B19" s="214" t="s">
        <v>8</v>
      </c>
      <c r="C19" s="214"/>
      <c r="D19" s="214"/>
      <c r="E19" s="214"/>
      <c r="F19" s="214"/>
      <c r="G19" s="214"/>
      <c r="H19" s="214"/>
      <c r="I19" s="214"/>
      <c r="J19" s="214" t="s">
        <v>9</v>
      </c>
      <c r="K19" s="215" t="s">
        <v>10</v>
      </c>
      <c r="L19" s="22"/>
    </row>
    <row r="20" spans="1:14" x14ac:dyDescent="0.25">
      <c r="A20" s="25"/>
      <c r="B20" s="214"/>
      <c r="C20" s="214"/>
      <c r="D20" s="214"/>
      <c r="E20" s="214"/>
      <c r="F20" s="214"/>
      <c r="G20" s="214"/>
      <c r="H20" s="214"/>
      <c r="I20" s="214"/>
      <c r="J20" s="214"/>
      <c r="K20" s="215"/>
      <c r="L20" s="22"/>
    </row>
    <row r="21" spans="1:14" ht="15" customHeight="1" x14ac:dyDescent="0.25">
      <c r="A21" s="25"/>
      <c r="B21" s="210" t="s">
        <v>32</v>
      </c>
      <c r="C21" s="210"/>
      <c r="D21" s="210"/>
      <c r="E21" s="210"/>
      <c r="F21" s="210"/>
      <c r="G21" s="210"/>
      <c r="H21" s="210"/>
      <c r="I21" s="210"/>
      <c r="J21" s="1" t="s">
        <v>33</v>
      </c>
      <c r="K21" s="2">
        <v>3.7999999999999999E-2</v>
      </c>
      <c r="L21" s="22"/>
      <c r="N21">
        <v>3.7999999999999999E-2</v>
      </c>
    </row>
    <row r="22" spans="1:14" ht="15" customHeight="1" x14ac:dyDescent="0.25">
      <c r="A22" s="25"/>
      <c r="B22" s="210" t="s">
        <v>34</v>
      </c>
      <c r="C22" s="210"/>
      <c r="D22" s="210"/>
      <c r="E22" s="210"/>
      <c r="F22" s="210"/>
      <c r="G22" s="210"/>
      <c r="H22" s="210"/>
      <c r="I22" s="210"/>
      <c r="J22" s="1" t="s">
        <v>35</v>
      </c>
      <c r="K22" s="2">
        <v>3.2000000000000002E-3</v>
      </c>
      <c r="L22" s="22"/>
      <c r="N22">
        <v>3.2000000000000002E-3</v>
      </c>
    </row>
    <row r="23" spans="1:14" x14ac:dyDescent="0.25">
      <c r="A23" s="25"/>
      <c r="B23" s="210" t="s">
        <v>36</v>
      </c>
      <c r="C23" s="210"/>
      <c r="D23" s="210"/>
      <c r="E23" s="210"/>
      <c r="F23" s="210"/>
      <c r="G23" s="210"/>
      <c r="H23" s="210"/>
      <c r="I23" s="210"/>
      <c r="J23" s="1" t="s">
        <v>37</v>
      </c>
      <c r="K23" s="2">
        <v>5.0000000000000001E-3</v>
      </c>
      <c r="L23" s="22"/>
      <c r="N23">
        <v>5.0000000000000001E-3</v>
      </c>
    </row>
    <row r="24" spans="1:14" x14ac:dyDescent="0.25">
      <c r="A24" s="25"/>
      <c r="B24" s="210" t="s">
        <v>38</v>
      </c>
      <c r="C24" s="210"/>
      <c r="D24" s="210"/>
      <c r="E24" s="210"/>
      <c r="F24" s="210"/>
      <c r="G24" s="210"/>
      <c r="H24" s="210"/>
      <c r="I24" s="210"/>
      <c r="J24" s="1" t="s">
        <v>39</v>
      </c>
      <c r="K24" s="2">
        <v>1.0200000000000001E-2</v>
      </c>
      <c r="L24" s="22"/>
      <c r="N24">
        <v>1.0200000000000001E-2</v>
      </c>
    </row>
    <row r="25" spans="1:14" ht="15" customHeight="1" x14ac:dyDescent="0.25">
      <c r="A25" s="25"/>
      <c r="B25" s="210" t="s">
        <v>40</v>
      </c>
      <c r="C25" s="210"/>
      <c r="D25" s="210"/>
      <c r="E25" s="210"/>
      <c r="F25" s="210"/>
      <c r="G25" s="210"/>
      <c r="H25" s="210"/>
      <c r="I25" s="210"/>
      <c r="J25" s="1" t="s">
        <v>41</v>
      </c>
      <c r="K25" s="2">
        <v>6.6400000000000001E-2</v>
      </c>
      <c r="L25" s="22"/>
      <c r="N25">
        <v>6.6400000000000001E-2</v>
      </c>
    </row>
    <row r="26" spans="1:14" ht="15" customHeight="1" x14ac:dyDescent="0.25">
      <c r="A26" s="25"/>
      <c r="B26" s="210" t="s">
        <v>11</v>
      </c>
      <c r="C26" s="210"/>
      <c r="D26" s="210"/>
      <c r="E26" s="210"/>
      <c r="F26" s="210"/>
      <c r="G26" s="210"/>
      <c r="H26" s="210"/>
      <c r="I26" s="210"/>
      <c r="J26" s="1" t="s">
        <v>12</v>
      </c>
      <c r="K26" s="2">
        <v>3.6499999999999998E-2</v>
      </c>
      <c r="L26" s="22"/>
      <c r="N26">
        <v>3.6499999999999998E-2</v>
      </c>
    </row>
    <row r="27" spans="1:14" ht="15" customHeight="1" x14ac:dyDescent="0.25">
      <c r="A27" s="25"/>
      <c r="B27" s="210" t="s">
        <v>13</v>
      </c>
      <c r="C27" s="210"/>
      <c r="D27" s="210"/>
      <c r="E27" s="210"/>
      <c r="F27" s="210"/>
      <c r="G27" s="210"/>
      <c r="H27" s="210"/>
      <c r="I27" s="210"/>
      <c r="J27" s="1" t="s">
        <v>14</v>
      </c>
      <c r="K27" s="3">
        <v>0.05</v>
      </c>
      <c r="L27" s="22"/>
      <c r="N27">
        <v>0.05</v>
      </c>
    </row>
    <row r="28" spans="1:14" ht="15" customHeight="1" x14ac:dyDescent="0.25">
      <c r="A28" s="25"/>
      <c r="B28" s="210" t="s">
        <v>15</v>
      </c>
      <c r="C28" s="210"/>
      <c r="D28" s="210"/>
      <c r="E28" s="210"/>
      <c r="F28" s="210"/>
      <c r="G28" s="210"/>
      <c r="H28" s="210"/>
      <c r="I28" s="210"/>
      <c r="J28" s="1" t="s">
        <v>16</v>
      </c>
      <c r="K28" s="3">
        <v>3.5999999999999997E-2</v>
      </c>
      <c r="L28" s="22"/>
      <c r="N28">
        <v>3.6000000000000004E-2</v>
      </c>
    </row>
    <row r="29" spans="1:14" ht="15" customHeight="1" x14ac:dyDescent="0.25">
      <c r="A29" s="25"/>
      <c r="B29" s="210" t="s">
        <v>17</v>
      </c>
      <c r="C29" s="210"/>
      <c r="D29" s="210"/>
      <c r="E29" s="210"/>
      <c r="F29" s="210"/>
      <c r="G29" s="210"/>
      <c r="H29" s="210"/>
      <c r="I29" s="210"/>
      <c r="J29" s="4" t="s">
        <v>18</v>
      </c>
      <c r="K29" s="3">
        <v>0.23380000000000001</v>
      </c>
      <c r="L29" s="22"/>
      <c r="N29">
        <v>0.23380000000000001</v>
      </c>
    </row>
    <row r="30" spans="1:14" ht="15" customHeight="1" x14ac:dyDescent="0.25">
      <c r="A30" s="25"/>
      <c r="B30" s="217" t="s">
        <v>19</v>
      </c>
      <c r="C30" s="217"/>
      <c r="D30" s="217"/>
      <c r="E30" s="217"/>
      <c r="F30" s="217"/>
      <c r="G30" s="217"/>
      <c r="H30" s="217"/>
      <c r="I30" s="217"/>
      <c r="J30" s="5" t="s">
        <v>20</v>
      </c>
      <c r="K30" s="6">
        <f>(ROUND((((1+K21+K22+K23)*(1+K24)*(1+K25)/(1-(K26+K27+K28)))-1),4))</f>
        <v>0.28439999999999999</v>
      </c>
      <c r="L30" s="22"/>
      <c r="N30">
        <v>0.28439999999999999</v>
      </c>
    </row>
    <row r="31" spans="1:14" x14ac:dyDescent="0.25">
      <c r="A31" s="25"/>
      <c r="B31" s="195" t="s">
        <v>21</v>
      </c>
      <c r="C31" s="195"/>
      <c r="D31" s="195"/>
      <c r="E31" s="195"/>
      <c r="F31" s="195"/>
      <c r="G31" s="195"/>
      <c r="H31" s="195"/>
      <c r="I31" s="195"/>
      <c r="J31" s="195"/>
      <c r="K31" s="195"/>
      <c r="L31" s="22"/>
    </row>
    <row r="32" spans="1:14" ht="15.75" x14ac:dyDescent="0.25">
      <c r="A32" s="25"/>
      <c r="B32" s="8"/>
      <c r="C32" s="8"/>
      <c r="D32" s="8"/>
      <c r="E32" s="232" t="s">
        <v>22</v>
      </c>
      <c r="F32" s="233" t="s">
        <v>42</v>
      </c>
      <c r="G32" s="233"/>
      <c r="H32" s="233"/>
      <c r="I32" s="234" t="s">
        <v>23</v>
      </c>
      <c r="J32" s="8"/>
      <c r="K32" s="8"/>
      <c r="L32" s="22"/>
    </row>
    <row r="33" spans="1:12" ht="15.75" x14ac:dyDescent="0.25">
      <c r="A33" s="25"/>
      <c r="B33" s="8"/>
      <c r="C33" s="8"/>
      <c r="D33" s="8"/>
      <c r="E33" s="232"/>
      <c r="F33" s="235" t="s">
        <v>24</v>
      </c>
      <c r="G33" s="235"/>
      <c r="H33" s="235"/>
      <c r="I33" s="234"/>
      <c r="J33" s="8"/>
      <c r="K33" s="8"/>
      <c r="L33" s="22"/>
    </row>
    <row r="34" spans="1:12" x14ac:dyDescent="0.25">
      <c r="A34" s="25"/>
      <c r="B34" s="9"/>
      <c r="C34" s="9"/>
      <c r="D34" s="9"/>
      <c r="E34" s="9"/>
      <c r="F34" s="9"/>
      <c r="G34" s="9"/>
      <c r="H34" s="9"/>
      <c r="I34" s="9"/>
      <c r="J34" s="9"/>
      <c r="K34" s="9"/>
      <c r="L34" s="22"/>
    </row>
    <row r="35" spans="1:12" ht="30.75" customHeight="1" x14ac:dyDescent="0.25">
      <c r="A35" s="25"/>
      <c r="B35" s="216" t="s">
        <v>47</v>
      </c>
      <c r="C35" s="216"/>
      <c r="D35" s="216"/>
      <c r="E35" s="216"/>
      <c r="F35" s="216"/>
      <c r="G35" s="216"/>
      <c r="H35" s="216"/>
      <c r="I35" s="216"/>
      <c r="J35" s="216"/>
      <c r="K35" s="216"/>
      <c r="L35" s="22"/>
    </row>
    <row r="36" spans="1:12" x14ac:dyDescent="0.25">
      <c r="A36" s="25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22"/>
    </row>
    <row r="37" spans="1:12" ht="32.25" customHeight="1" x14ac:dyDescent="0.25">
      <c r="A37" s="25"/>
      <c r="B37" s="216" t="s">
        <v>104</v>
      </c>
      <c r="C37" s="216"/>
      <c r="D37" s="216"/>
      <c r="E37" s="216"/>
      <c r="F37" s="216"/>
      <c r="G37" s="216"/>
      <c r="H37" s="216"/>
      <c r="I37" s="216"/>
      <c r="J37" s="216"/>
      <c r="K37" s="216"/>
      <c r="L37" s="22"/>
    </row>
    <row r="38" spans="1:12" x14ac:dyDescent="0.25">
      <c r="A38" s="25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22"/>
    </row>
    <row r="39" spans="1:12" x14ac:dyDescent="0.25">
      <c r="A39" s="25"/>
      <c r="B39" s="10" t="s">
        <v>25</v>
      </c>
      <c r="C39" s="10"/>
      <c r="D39" s="10"/>
      <c r="E39" s="10"/>
      <c r="F39" s="10"/>
      <c r="G39" s="10"/>
      <c r="H39" s="10"/>
      <c r="I39" s="10"/>
      <c r="J39" s="10"/>
      <c r="K39" s="10"/>
      <c r="L39" s="22"/>
    </row>
    <row r="40" spans="1:12" x14ac:dyDescent="0.25">
      <c r="A40" s="25"/>
      <c r="B40" s="226"/>
      <c r="C40" s="226"/>
      <c r="D40" s="226"/>
      <c r="E40" s="226"/>
      <c r="F40" s="226"/>
      <c r="G40" s="226"/>
      <c r="H40" s="226"/>
      <c r="I40" s="226"/>
      <c r="J40" s="226"/>
      <c r="K40" s="226"/>
      <c r="L40" s="22"/>
    </row>
    <row r="41" spans="1:12" x14ac:dyDescent="0.25">
      <c r="A41" s="25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22"/>
    </row>
    <row r="42" spans="1:12" x14ac:dyDescent="0.25">
      <c r="A42" s="25"/>
      <c r="B42" s="227" t="str">
        <f>Import.Município</f>
        <v>São João da Lagoa  MG</v>
      </c>
      <c r="C42" s="227"/>
      <c r="D42" s="227"/>
      <c r="E42" s="227"/>
      <c r="F42" s="10"/>
      <c r="G42" s="10"/>
      <c r="H42" s="228" t="s">
        <v>112</v>
      </c>
      <c r="I42" s="228"/>
      <c r="J42" s="228"/>
      <c r="K42" s="228"/>
      <c r="L42" s="22"/>
    </row>
    <row r="43" spans="1:12" x14ac:dyDescent="0.25">
      <c r="A43" s="25"/>
      <c r="B43" s="229" t="s">
        <v>26</v>
      </c>
      <c r="C43" s="229"/>
      <c r="D43" s="229"/>
      <c r="E43" s="229"/>
      <c r="F43" s="10"/>
      <c r="G43" s="11"/>
      <c r="H43" s="12" t="s">
        <v>27</v>
      </c>
      <c r="I43" s="13"/>
      <c r="J43" s="13"/>
      <c r="K43" s="13"/>
      <c r="L43" s="22"/>
    </row>
    <row r="44" spans="1:12" x14ac:dyDescent="0.25">
      <c r="A44" s="25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22"/>
    </row>
    <row r="45" spans="1:12" x14ac:dyDescent="0.25">
      <c r="A45" s="25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22"/>
    </row>
    <row r="46" spans="1:12" ht="21" customHeight="1" x14ac:dyDescent="0.25">
      <c r="A46" s="25"/>
      <c r="B46" s="230"/>
      <c r="C46" s="230"/>
      <c r="D46" s="230"/>
      <c r="E46" s="230"/>
      <c r="F46" s="14"/>
      <c r="G46" s="10"/>
      <c r="H46" s="10"/>
      <c r="I46" s="10"/>
      <c r="J46" s="10"/>
      <c r="K46" s="10"/>
      <c r="L46" s="22"/>
    </row>
    <row r="47" spans="1:12" x14ac:dyDescent="0.25">
      <c r="A47" s="25"/>
      <c r="B47" s="231" t="s">
        <v>28</v>
      </c>
      <c r="C47" s="231"/>
      <c r="D47" s="231"/>
      <c r="E47" s="231"/>
      <c r="F47" s="10"/>
      <c r="G47" s="10"/>
      <c r="H47" s="10"/>
      <c r="I47" s="10"/>
      <c r="J47" s="10"/>
      <c r="K47" s="10"/>
      <c r="L47" s="22"/>
    </row>
    <row r="48" spans="1:12" x14ac:dyDescent="0.25">
      <c r="A48" s="25"/>
      <c r="B48" s="15" t="s">
        <v>29</v>
      </c>
      <c r="C48" s="218" t="s">
        <v>43</v>
      </c>
      <c r="D48" s="218"/>
      <c r="E48" s="218"/>
      <c r="F48" s="14"/>
      <c r="G48" s="10"/>
      <c r="H48" s="10"/>
      <c r="I48" s="10"/>
      <c r="J48" s="10"/>
      <c r="K48" s="10"/>
      <c r="L48" s="22"/>
    </row>
    <row r="49" spans="1:12" x14ac:dyDescent="0.25">
      <c r="A49" s="25"/>
      <c r="B49" s="15" t="s">
        <v>30</v>
      </c>
      <c r="C49" s="219" t="s">
        <v>44</v>
      </c>
      <c r="D49" s="219"/>
      <c r="E49" s="219"/>
      <c r="F49" s="14"/>
      <c r="G49" s="10"/>
      <c r="H49" s="10"/>
      <c r="I49" s="10"/>
      <c r="J49" s="10"/>
      <c r="K49" s="10"/>
      <c r="L49" s="22"/>
    </row>
    <row r="50" spans="1:12" x14ac:dyDescent="0.25">
      <c r="A50" s="25"/>
      <c r="B50" s="15"/>
      <c r="C50" s="219"/>
      <c r="D50" s="219"/>
      <c r="E50" s="219"/>
      <c r="F50" s="14"/>
      <c r="G50" s="10"/>
      <c r="H50" s="10"/>
      <c r="I50" s="10"/>
      <c r="J50" s="10"/>
      <c r="K50" s="10"/>
      <c r="L50" s="22"/>
    </row>
    <row r="51" spans="1:12" x14ac:dyDescent="0.25">
      <c r="A51" s="26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4"/>
    </row>
  </sheetData>
  <mergeCells count="42">
    <mergeCell ref="C48:E48"/>
    <mergeCell ref="C49:E49"/>
    <mergeCell ref="C50:E50"/>
    <mergeCell ref="B5:K5"/>
    <mergeCell ref="B6:K6"/>
    <mergeCell ref="B40:K40"/>
    <mergeCell ref="B42:E42"/>
    <mergeCell ref="H42:K42"/>
    <mergeCell ref="B43:E43"/>
    <mergeCell ref="B46:E46"/>
    <mergeCell ref="B47:E47"/>
    <mergeCell ref="E32:E33"/>
    <mergeCell ref="F32:H32"/>
    <mergeCell ref="I32:I33"/>
    <mergeCell ref="F33:H33"/>
    <mergeCell ref="B35:K35"/>
    <mergeCell ref="B37:K37"/>
    <mergeCell ref="B27:I27"/>
    <mergeCell ref="B28:I28"/>
    <mergeCell ref="B29:I29"/>
    <mergeCell ref="B30:I30"/>
    <mergeCell ref="B31:K31"/>
    <mergeCell ref="B12:I12"/>
    <mergeCell ref="J12:K12"/>
    <mergeCell ref="B26:I26"/>
    <mergeCell ref="B14:K14"/>
    <mergeCell ref="B16:K16"/>
    <mergeCell ref="B17:K17"/>
    <mergeCell ref="B19:I20"/>
    <mergeCell ref="J19:J20"/>
    <mergeCell ref="K19:K20"/>
    <mergeCell ref="B21:I21"/>
    <mergeCell ref="B22:I22"/>
    <mergeCell ref="B23:I23"/>
    <mergeCell ref="B24:I24"/>
    <mergeCell ref="B25:I25"/>
    <mergeCell ref="J2:K2"/>
    <mergeCell ref="J3:K3"/>
    <mergeCell ref="B8:K8"/>
    <mergeCell ref="B9:K9"/>
    <mergeCell ref="B11:I11"/>
    <mergeCell ref="J11:K11"/>
  </mergeCells>
  <conditionalFormatting sqref="B30:K30">
    <cfRule type="expression" dxfId="48" priority="1" stopIfTrue="1">
      <formula>DESONERACAO="não"</formula>
    </cfRule>
  </conditionalFormatting>
  <conditionalFormatting sqref="K29">
    <cfRule type="expression" dxfId="47" priority="4" stopIfTrue="1">
      <formula>DESONERACAO="não"</formula>
    </cfRule>
  </conditionalFormatting>
  <dataValidations count="6">
    <dataValidation type="list" allowBlank="1" showErrorMessage="1" sqref="B17:K17" xr:uid="{0DE7769E-55A6-4F7F-98EF-0838690F1A7B}">
      <formula1>BDI.TipoObra</formula1>
      <formula2>0</formula2>
    </dataValidation>
    <dataValidation type="decimal" allowBlank="1" showInputMessage="1" showErrorMessage="1" errorTitle="Valor não permitido" error="Digite um percentual entre 0% e 100%." promptTitle="Valores admissíveis:" prompt="Insira valores entre 0 e 100%." sqref="J11:K11" xr:uid="{1971DE07-6DAA-41FB-93C4-031D31A52B60}">
      <formula1>0</formula1>
      <formula2>1</formula2>
    </dataValidation>
    <dataValidation type="decimal" operator="greaterThanOrEqual" allowBlank="1" showInputMessage="1" showErrorMessage="1" errorTitle="Valor não permitido" error="Digite um percentual entre 0% e 100%." promptTitle="Valores comuns:" prompt="Normalmente entre 2 e 5%." sqref="J12:K12" xr:uid="{770DE75F-DA5C-4C7D-8085-3F05D32ACB86}">
      <formula1>0</formula1>
      <formula2>0</formula2>
    </dataValidation>
    <dataValidation operator="greaterThanOrEqual" allowBlank="1" showErrorMessage="1" errorTitle="Erro de valores" error="Digite um valor igual a 0% ou 2%." sqref="K28" xr:uid="{C742FDE1-53B6-46C5-9B54-E41F76119867}">
      <formula1>0</formula1>
      <formula2>0</formula2>
    </dataValidation>
    <dataValidation type="decimal" allowBlank="1" showErrorMessage="1" errorTitle="Erro de valores" error="Digite um valor maior do que 0." sqref="K27" xr:uid="{46C69B21-8752-464A-B2AB-E0C9B550B53F}">
      <formula1>0</formula1>
      <formula2>1</formula2>
    </dataValidation>
    <dataValidation type="decimal" allowBlank="1" showErrorMessage="1" errorTitle="Erro de valores" error="Digite um valor entre 0% e 100%" sqref="K21:K26" xr:uid="{791AE634-D4FD-447A-8026-4C24C53FA407}">
      <formula1>0</formula1>
      <formula2>1</formula2>
    </dataValidation>
  </dataValidations>
  <pageMargins left="0.511811024" right="0.511811024" top="0.78740157499999996" bottom="0.78740157499999996" header="0.31496062000000002" footer="0.31496062000000002"/>
  <pageSetup paperSize="9" scale="8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BC99E-EF6E-4914-B784-257BDBE626D4}">
  <sheetPr>
    <pageSetUpPr fitToPage="1"/>
  </sheetPr>
  <dimension ref="A1:P42"/>
  <sheetViews>
    <sheetView tabSelected="1" workbookViewId="0">
      <selection activeCell="K11" sqref="K11"/>
    </sheetView>
  </sheetViews>
  <sheetFormatPr defaultRowHeight="15" x14ac:dyDescent="0.25"/>
  <cols>
    <col min="1" max="1" width="0.85546875" customWidth="1"/>
    <col min="2" max="2" width="12.7109375" customWidth="1"/>
    <col min="3" max="4" width="15.7109375" customWidth="1"/>
    <col min="5" max="5" width="65.7109375" customWidth="1"/>
    <col min="6" max="6" width="10.7109375" customWidth="1"/>
    <col min="7" max="8" width="14.7109375" customWidth="1"/>
    <col min="9" max="9" width="12.85546875" customWidth="1"/>
    <col min="10" max="10" width="14.7109375" customWidth="1"/>
    <col min="11" max="11" width="18" customWidth="1"/>
    <col min="12" max="12" width="1.28515625" customWidth="1"/>
    <col min="14" max="14" width="11.5703125" bestFit="1" customWidth="1"/>
    <col min="15" max="15" width="9.5703125" bestFit="1" customWidth="1"/>
  </cols>
  <sheetData>
    <row r="1" spans="1:16" ht="4.5" customHeight="1" x14ac:dyDescent="0.25">
      <c r="A1" s="27"/>
      <c r="B1" s="28"/>
      <c r="C1" s="28"/>
      <c r="D1" s="28"/>
      <c r="E1" s="28"/>
      <c r="F1" s="28"/>
      <c r="G1" s="28"/>
      <c r="H1" s="28"/>
      <c r="I1" s="28"/>
      <c r="J1" s="28"/>
      <c r="K1" s="28"/>
      <c r="L1" s="29"/>
    </row>
    <row r="2" spans="1:16" ht="15.75" x14ac:dyDescent="0.25">
      <c r="A2" s="25"/>
      <c r="B2" s="189" t="s">
        <v>48</v>
      </c>
      <c r="C2" s="189"/>
      <c r="D2" s="189"/>
      <c r="E2" s="189"/>
      <c r="F2" s="189"/>
      <c r="G2" s="189"/>
      <c r="H2" s="189"/>
      <c r="I2" s="189"/>
      <c r="J2" s="247"/>
      <c r="K2" s="19" t="s">
        <v>0</v>
      </c>
      <c r="L2" s="22"/>
    </row>
    <row r="3" spans="1:16" x14ac:dyDescent="0.25">
      <c r="A3" s="25"/>
      <c r="B3" s="248"/>
      <c r="C3" s="248"/>
      <c r="D3" s="248"/>
      <c r="E3" s="248"/>
      <c r="F3" s="248"/>
      <c r="G3" s="248"/>
      <c r="H3" s="248"/>
      <c r="I3" s="248"/>
      <c r="J3" s="249"/>
      <c r="K3" s="20" t="s">
        <v>1</v>
      </c>
      <c r="L3" s="22"/>
    </row>
    <row r="4" spans="1:16" x14ac:dyDescent="0.25">
      <c r="A4" s="25"/>
      <c r="B4" s="220" t="s">
        <v>2</v>
      </c>
      <c r="C4" s="221"/>
      <c r="D4" s="221"/>
      <c r="E4" s="221" t="s">
        <v>45</v>
      </c>
      <c r="F4" s="221"/>
      <c r="G4" s="221"/>
      <c r="H4" s="221"/>
      <c r="I4" s="221"/>
      <c r="J4" s="221"/>
      <c r="K4" s="222"/>
      <c r="L4" s="22"/>
    </row>
    <row r="5" spans="1:16" ht="54" customHeight="1" x14ac:dyDescent="0.25">
      <c r="A5" s="25"/>
      <c r="B5" s="223" t="s">
        <v>31</v>
      </c>
      <c r="C5" s="224"/>
      <c r="D5" s="224"/>
      <c r="E5" s="254" t="s">
        <v>213</v>
      </c>
      <c r="F5" s="255"/>
      <c r="G5" s="255"/>
      <c r="H5" s="255"/>
      <c r="I5" s="255"/>
      <c r="J5" s="255"/>
      <c r="K5" s="256"/>
      <c r="L5" s="22"/>
    </row>
    <row r="6" spans="1:16" x14ac:dyDescent="0.25">
      <c r="A6" s="25"/>
      <c r="B6" s="72"/>
      <c r="C6" s="72"/>
      <c r="D6" s="73"/>
      <c r="E6" s="73"/>
      <c r="F6" s="72"/>
      <c r="G6" s="72"/>
      <c r="H6" s="72"/>
      <c r="I6" s="72"/>
      <c r="J6" s="72"/>
      <c r="K6" s="72"/>
      <c r="L6" s="22"/>
    </row>
    <row r="7" spans="1:16" ht="18" customHeight="1" x14ac:dyDescent="0.25">
      <c r="A7" s="25"/>
      <c r="B7" s="250" t="s">
        <v>136</v>
      </c>
      <c r="C7" s="251"/>
      <c r="D7" s="74" t="s">
        <v>49</v>
      </c>
      <c r="E7" s="250" t="s">
        <v>45</v>
      </c>
      <c r="F7" s="251"/>
      <c r="G7" s="258" t="s">
        <v>71</v>
      </c>
      <c r="H7" s="251"/>
      <c r="I7" s="76" t="s">
        <v>5</v>
      </c>
      <c r="J7" s="75" t="s">
        <v>72</v>
      </c>
      <c r="K7" s="76" t="s">
        <v>73</v>
      </c>
      <c r="L7" s="22"/>
    </row>
    <row r="8" spans="1:16" ht="63.75" customHeight="1" x14ac:dyDescent="0.25">
      <c r="A8" s="25"/>
      <c r="B8" s="252" t="s">
        <v>137</v>
      </c>
      <c r="C8" s="253"/>
      <c r="D8" s="77" t="s">
        <v>135</v>
      </c>
      <c r="E8" s="259" t="str">
        <f>E5</f>
        <v>EXECUÇÃO DE PAVIMENTAÇÃO ASFÁLTICA EM CBUQ EM VIAS PÚBLICAS DA SEDE DO MUNICÍPIO DE SÃO JOÃO DA LAGOA/MG, CONTEMPLANDO TRECHOS DA RUA FELÍCIO BATISTA, CONTINUAÇÃO DA RUA LUIZ FERNANDES, RUA FILOMENO DE OLIVEIRA E RUA SÃO SEBASTIÃO, PT - 004683/2026 TRANSFERÊNCIA ESPECIAL ESTADUAL</v>
      </c>
      <c r="F8" s="260"/>
      <c r="G8" s="257" t="s">
        <v>70</v>
      </c>
      <c r="H8" s="253"/>
      <c r="I8" s="141">
        <f>BDI!K30</f>
        <v>0.28439999999999999</v>
      </c>
      <c r="J8" s="78" t="s">
        <v>69</v>
      </c>
      <c r="K8" s="79" t="s">
        <v>69</v>
      </c>
      <c r="L8" s="22"/>
    </row>
    <row r="9" spans="1:16" x14ac:dyDescent="0.25">
      <c r="A9" s="25"/>
      <c r="B9" s="244"/>
      <c r="C9" s="245"/>
      <c r="D9" s="245"/>
      <c r="E9" s="245"/>
      <c r="F9" s="245"/>
      <c r="G9" s="245"/>
      <c r="H9" s="245"/>
      <c r="I9" s="245"/>
      <c r="J9" s="245"/>
      <c r="K9" s="246"/>
      <c r="L9" s="22"/>
    </row>
    <row r="10" spans="1:16" ht="25.5" x14ac:dyDescent="0.25">
      <c r="A10" s="25"/>
      <c r="B10" s="33" t="s">
        <v>51</v>
      </c>
      <c r="C10" s="33" t="s">
        <v>52</v>
      </c>
      <c r="D10" s="33" t="s">
        <v>53</v>
      </c>
      <c r="E10" s="33" t="s">
        <v>54</v>
      </c>
      <c r="F10" s="34" t="s">
        <v>55</v>
      </c>
      <c r="G10" s="33" t="s">
        <v>56</v>
      </c>
      <c r="H10" s="33" t="str">
        <f>IF(TIPOORCAMENTO="Licitado","","Custo Unitário (sem BDI) (R$)")</f>
        <v>Custo Unitário (sem BDI) (R$)</v>
      </c>
      <c r="I10" s="33" t="str">
        <f>IF(TIPOORCAMENTO="Licitado","","BDI
(%)")</f>
        <v>BDI
(%)</v>
      </c>
      <c r="J10" s="33" t="s">
        <v>57</v>
      </c>
      <c r="K10" s="33" t="s">
        <v>58</v>
      </c>
      <c r="L10" s="22"/>
    </row>
    <row r="11" spans="1:16" ht="47.25" customHeight="1" x14ac:dyDescent="0.25">
      <c r="A11" s="25"/>
      <c r="B11" s="236" t="str">
        <f>E5</f>
        <v>EXECUÇÃO DE PAVIMENTAÇÃO ASFÁLTICA EM CBUQ EM VIAS PÚBLICAS DA SEDE DO MUNICÍPIO DE SÃO JOÃO DA LAGOA/MG, CONTEMPLANDO TRECHOS DA RUA FELÍCIO BATISTA, CONTINUAÇÃO DA RUA LUIZ FERNANDES, RUA FILOMENO DE OLIVEIRA E RUA SÃO SEBASTIÃO, PT - 004683/2026 TRANSFERÊNCIA ESPECIAL ESTADUAL</v>
      </c>
      <c r="C11" s="236"/>
      <c r="D11" s="236"/>
      <c r="E11" s="236"/>
      <c r="F11" s="35"/>
      <c r="G11" s="36"/>
      <c r="H11" s="36"/>
      <c r="I11" s="37"/>
      <c r="J11" s="36"/>
      <c r="K11" s="38">
        <f>K12</f>
        <v>300497.55999999994</v>
      </c>
      <c r="L11" s="22"/>
      <c r="N11" s="136"/>
    </row>
    <row r="12" spans="1:16" ht="33" customHeight="1" x14ac:dyDescent="0.25">
      <c r="A12" s="25"/>
      <c r="B12" s="144">
        <v>1</v>
      </c>
      <c r="C12" s="39"/>
      <c r="D12" s="40"/>
      <c r="E12" s="41" t="s">
        <v>211</v>
      </c>
      <c r="F12" s="42"/>
      <c r="G12" s="43"/>
      <c r="H12" s="44"/>
      <c r="I12" s="45"/>
      <c r="J12" s="43">
        <f>IF($B12="S",ROUND(IF(TIPOORCAMENTO="Proposto",ORÇAMENTO.CustoUnitario*(1+$AG12),ORÇAMENTO.PrecoUnitarioLicitado),15-13*#REF!),0)</f>
        <v>0</v>
      </c>
      <c r="K12" s="46">
        <f>K13+K18+K23+K16+K26</f>
        <v>300497.55999999994</v>
      </c>
      <c r="L12" s="22"/>
    </row>
    <row r="13" spans="1:16" ht="21.75" customHeight="1" x14ac:dyDescent="0.25">
      <c r="A13" s="25"/>
      <c r="B13" s="47" t="s">
        <v>92</v>
      </c>
      <c r="C13" s="48"/>
      <c r="D13" s="49"/>
      <c r="E13" s="50" t="s">
        <v>199</v>
      </c>
      <c r="F13" s="51"/>
      <c r="G13" s="52"/>
      <c r="H13" s="53"/>
      <c r="I13" s="54"/>
      <c r="J13" s="52"/>
      <c r="K13" s="55">
        <f>SUM(K14:K15)</f>
        <v>4852.1900000000005</v>
      </c>
      <c r="L13" s="22"/>
      <c r="N13" s="136">
        <f>K13-506.59</f>
        <v>4345.6000000000004</v>
      </c>
    </row>
    <row r="14" spans="1:16" ht="75" x14ac:dyDescent="0.25">
      <c r="A14" s="25"/>
      <c r="B14" s="56" t="s">
        <v>93</v>
      </c>
      <c r="C14" s="57" t="s">
        <v>114</v>
      </c>
      <c r="D14" s="58" t="s">
        <v>63</v>
      </c>
      <c r="E14" s="143" t="s">
        <v>78</v>
      </c>
      <c r="F14" s="60" t="s">
        <v>89</v>
      </c>
      <c r="G14" s="61">
        <f>'[2]MEMÓRIA DE CÁLCULO'!F13</f>
        <v>1</v>
      </c>
      <c r="H14" s="62">
        <v>1187.0999999999999</v>
      </c>
      <c r="I14" s="63" t="s">
        <v>5</v>
      </c>
      <c r="J14" s="61">
        <f>ROUND(H14*1.2844,2)</f>
        <v>1524.71</v>
      </c>
      <c r="K14" s="64">
        <f>ROUND(G14*J14,2)</f>
        <v>1524.71</v>
      </c>
      <c r="L14" s="22"/>
      <c r="N14" s="136"/>
      <c r="O14" s="136"/>
      <c r="P14" s="136">
        <f>306.77/J15</f>
        <v>3.3189440657795082</v>
      </c>
    </row>
    <row r="15" spans="1:16" ht="30" x14ac:dyDescent="0.25">
      <c r="A15" s="25"/>
      <c r="B15" s="56" t="s">
        <v>134</v>
      </c>
      <c r="C15" s="57" t="s">
        <v>121</v>
      </c>
      <c r="D15" s="58" t="s">
        <v>138</v>
      </c>
      <c r="E15" s="143" t="s">
        <v>139</v>
      </c>
      <c r="F15" s="60" t="s">
        <v>89</v>
      </c>
      <c r="G15" s="61">
        <f>'MEMÓRIA DE CÁLCULO'!F14</f>
        <v>36</v>
      </c>
      <c r="H15" s="62">
        <v>71.959999999999994</v>
      </c>
      <c r="I15" s="63" t="s">
        <v>72</v>
      </c>
      <c r="J15" s="61">
        <f>ROUND(H15*1.2844,2)</f>
        <v>92.43</v>
      </c>
      <c r="K15" s="64">
        <f>ROUND(G15*J15,2)</f>
        <v>3327.48</v>
      </c>
      <c r="L15" s="22"/>
      <c r="N15" s="136"/>
    </row>
    <row r="16" spans="1:16" x14ac:dyDescent="0.25">
      <c r="A16" s="25"/>
      <c r="B16" s="47" t="s">
        <v>94</v>
      </c>
      <c r="C16" s="48"/>
      <c r="D16" s="49"/>
      <c r="E16" s="50" t="s">
        <v>140</v>
      </c>
      <c r="F16" s="51"/>
      <c r="G16" s="52">
        <v>0</v>
      </c>
      <c r="H16" s="53"/>
      <c r="I16" s="54"/>
      <c r="J16" s="52"/>
      <c r="K16" s="55">
        <f>SUM(K17:K17)</f>
        <v>0</v>
      </c>
      <c r="L16" s="22"/>
    </row>
    <row r="17" spans="1:16" x14ac:dyDescent="0.25">
      <c r="A17" s="25"/>
      <c r="B17" s="56" t="str">
        <f ca="1">IF(OR($B17=0,$K17=""),"-",CONCATENATE(#REF!&amp;".",IF(AND(#REF!&gt;=2,$B17&gt;=2),#REF!&amp;".",""),IF(AND(#REF!&gt;=3,$B17&gt;=3),#REF!&amp;".",""),IF(AND(#REF!&gt;=4,$B17&gt;=4),#REF!&amp;".",""),IF($B17="S",#REF!&amp;".","")))</f>
        <v>-</v>
      </c>
      <c r="C17" s="57" t="s">
        <v>60</v>
      </c>
      <c r="D17" s="58"/>
      <c r="E17" s="59" t="s">
        <v>65</v>
      </c>
      <c r="F17" s="60" t="str">
        <f t="shared" ref="F17" ca="1" si="0">REFERENCIA.Unidade</f>
        <v>-</v>
      </c>
      <c r="G17" s="61">
        <f>'MEMÓRIA DE CÁLCULO'!F16</f>
        <v>0</v>
      </c>
      <c r="H17" s="62"/>
      <c r="I17" s="63" t="s">
        <v>5</v>
      </c>
      <c r="J17" s="61">
        <f>ROUND(H17*1.2844,2)</f>
        <v>0</v>
      </c>
      <c r="K17" s="64">
        <v>0</v>
      </c>
      <c r="L17" s="22"/>
    </row>
    <row r="18" spans="1:16" x14ac:dyDescent="0.25">
      <c r="A18" s="25"/>
      <c r="B18" s="47" t="s">
        <v>96</v>
      </c>
      <c r="C18" s="48"/>
      <c r="D18" s="49"/>
      <c r="E18" s="50" t="s">
        <v>127</v>
      </c>
      <c r="F18" s="51"/>
      <c r="G18" s="52">
        <v>0</v>
      </c>
      <c r="H18" s="53"/>
      <c r="I18" s="54"/>
      <c r="J18" s="52"/>
      <c r="K18" s="55">
        <f>SUM(K19:K22)</f>
        <v>22428.799999999999</v>
      </c>
      <c r="L18" s="22"/>
    </row>
    <row r="19" spans="1:16" ht="30" x14ac:dyDescent="0.25">
      <c r="A19" s="25"/>
      <c r="B19" s="56" t="s">
        <v>97</v>
      </c>
      <c r="C19" s="57" t="s">
        <v>116</v>
      </c>
      <c r="D19" s="58" t="s">
        <v>117</v>
      </c>
      <c r="E19" s="143" t="str">
        <f>COMPOSIÇÃO!B105</f>
        <v>EXECUÇÃO DE IMPRIMAÇÃO COM EMULSÃO ASFÁLTICA PARA SERVIÇO DE IMPRIMAÇÃO (EAI)</v>
      </c>
      <c r="F19" s="60" t="s">
        <v>90</v>
      </c>
      <c r="G19" s="61">
        <f>'MEMÓRIA DE CÁLCULO'!F18</f>
        <v>2394</v>
      </c>
      <c r="H19" s="62">
        <f>COMPOSIÇÃO!H126</f>
        <v>4.26</v>
      </c>
      <c r="I19" s="63" t="s">
        <v>5</v>
      </c>
      <c r="J19" s="61">
        <f t="shared" ref="J19:J20" si="1">ROUND(H19*1.2844,2)</f>
        <v>5.47</v>
      </c>
      <c r="K19" s="64">
        <f t="shared" ref="K19:K20" si="2">ROUND(G19*J19,2)</f>
        <v>13095.18</v>
      </c>
      <c r="L19" s="22"/>
    </row>
    <row r="20" spans="1:16" ht="75" x14ac:dyDescent="0.25">
      <c r="A20" s="25"/>
      <c r="B20" s="56" t="s">
        <v>128</v>
      </c>
      <c r="C20" s="57" t="s">
        <v>60</v>
      </c>
      <c r="D20" s="58" t="s">
        <v>118</v>
      </c>
      <c r="E20" s="143" t="s">
        <v>210</v>
      </c>
      <c r="F20" s="60" t="s">
        <v>119</v>
      </c>
      <c r="G20" s="61">
        <f>'MEMÓRIA DE CÁLCULO'!F19</f>
        <v>1287.02</v>
      </c>
      <c r="H20" s="62">
        <v>0.63</v>
      </c>
      <c r="I20" s="63" t="s">
        <v>5</v>
      </c>
      <c r="J20" s="61">
        <f t="shared" si="1"/>
        <v>0.81</v>
      </c>
      <c r="K20" s="64">
        <f t="shared" si="2"/>
        <v>1042.49</v>
      </c>
      <c r="L20" s="22"/>
    </row>
    <row r="21" spans="1:16" x14ac:dyDescent="0.25">
      <c r="A21" s="25"/>
      <c r="B21" s="56" t="s">
        <v>129</v>
      </c>
      <c r="C21" s="57" t="s">
        <v>116</v>
      </c>
      <c r="D21" s="58" t="s">
        <v>120</v>
      </c>
      <c r="E21" s="143" t="str">
        <f>COMPOSIÇÃO!B12</f>
        <v>EXECUÇÃO DE PINTURA DE LIGAÇÃO COM EMULSÃO ASFÁLTICA RR-2C.</v>
      </c>
      <c r="F21" s="60" t="s">
        <v>90</v>
      </c>
      <c r="G21" s="61">
        <f>'MEMÓRIA DE CÁLCULO'!F20</f>
        <v>2394</v>
      </c>
      <c r="H21" s="62">
        <f>COMPOSIÇÃO!H33</f>
        <v>2.57</v>
      </c>
      <c r="I21" s="63" t="s">
        <v>5</v>
      </c>
      <c r="J21" s="61">
        <f>ROUND(H21*1.2844,2)</f>
        <v>3.3</v>
      </c>
      <c r="K21" s="64">
        <f>ROUND(G21*J21,2)</f>
        <v>7900.2</v>
      </c>
      <c r="L21" s="22"/>
    </row>
    <row r="22" spans="1:16" ht="80.25" customHeight="1" x14ac:dyDescent="0.25">
      <c r="A22" s="25"/>
      <c r="B22" s="56" t="s">
        <v>130</v>
      </c>
      <c r="C22" s="57" t="s">
        <v>60</v>
      </c>
      <c r="D22" s="58" t="s">
        <v>118</v>
      </c>
      <c r="E22" s="143" t="s">
        <v>209</v>
      </c>
      <c r="F22" s="60" t="s">
        <v>119</v>
      </c>
      <c r="G22" s="61">
        <f>'MEMÓRIA DE CÁLCULO'!F21</f>
        <v>482.63</v>
      </c>
      <c r="H22" s="62">
        <v>0.63</v>
      </c>
      <c r="I22" s="63" t="s">
        <v>5</v>
      </c>
      <c r="J22" s="61">
        <f>ROUND(H22*1.2844,2)</f>
        <v>0.81</v>
      </c>
      <c r="K22" s="64">
        <f>ROUND(G22*J22,2)</f>
        <v>390.93</v>
      </c>
      <c r="L22" s="22"/>
      <c r="P22" s="136"/>
    </row>
    <row r="23" spans="1:16" x14ac:dyDescent="0.25">
      <c r="A23" s="25"/>
      <c r="B23" s="47" t="s">
        <v>98</v>
      </c>
      <c r="C23" s="48"/>
      <c r="D23" s="49"/>
      <c r="E23" s="50" t="s">
        <v>200</v>
      </c>
      <c r="F23" s="51"/>
      <c r="G23" s="52">
        <v>0</v>
      </c>
      <c r="H23" s="53"/>
      <c r="I23" s="54"/>
      <c r="J23" s="52"/>
      <c r="K23" s="55">
        <f>SUM(K24:K25)</f>
        <v>208197.53999999998</v>
      </c>
      <c r="L23" s="22"/>
    </row>
    <row r="24" spans="1:16" ht="60" x14ac:dyDescent="0.25">
      <c r="A24" s="25"/>
      <c r="B24" s="56" t="s">
        <v>99</v>
      </c>
      <c r="C24" s="57" t="s">
        <v>114</v>
      </c>
      <c r="D24" s="58" t="s">
        <v>122</v>
      </c>
      <c r="E24" s="143" t="s">
        <v>123</v>
      </c>
      <c r="F24" s="60" t="s">
        <v>124</v>
      </c>
      <c r="G24" s="61">
        <f>'MEMÓRIA DE CÁLCULO'!F23</f>
        <v>86.25</v>
      </c>
      <c r="H24" s="62">
        <v>1800.34</v>
      </c>
      <c r="I24" s="63" t="s">
        <v>115</v>
      </c>
      <c r="J24" s="61">
        <f>ROUND(H24*1.2844,2)</f>
        <v>2312.36</v>
      </c>
      <c r="K24" s="64">
        <f>ROUND(G24*J24,2)</f>
        <v>199441.05</v>
      </c>
      <c r="L24" s="22"/>
      <c r="N24" s="136">
        <f>G24/2</f>
        <v>43.125</v>
      </c>
    </row>
    <row r="25" spans="1:16" ht="45" x14ac:dyDescent="0.25">
      <c r="A25" s="25"/>
      <c r="B25" s="56" t="s">
        <v>100</v>
      </c>
      <c r="C25" s="57" t="s">
        <v>60</v>
      </c>
      <c r="D25" s="58" t="s">
        <v>125</v>
      </c>
      <c r="E25" s="143" t="s">
        <v>208</v>
      </c>
      <c r="F25" s="60" t="s">
        <v>126</v>
      </c>
      <c r="G25" s="61">
        <f>'MEMÓRIA DE CÁLCULO'!F24</f>
        <v>6210.2800000000007</v>
      </c>
      <c r="H25" s="62">
        <v>1.1000000000000001</v>
      </c>
      <c r="I25" s="63" t="s">
        <v>5</v>
      </c>
      <c r="J25" s="61">
        <f>ROUND(H25*1.2844,2)</f>
        <v>1.41</v>
      </c>
      <c r="K25" s="64">
        <f>ROUND(G25*J25,2)</f>
        <v>8756.49</v>
      </c>
      <c r="L25" s="22"/>
      <c r="P25" s="136"/>
    </row>
    <row r="26" spans="1:16" x14ac:dyDescent="0.25">
      <c r="A26" s="25"/>
      <c r="B26" s="47" t="s">
        <v>131</v>
      </c>
      <c r="C26" s="48"/>
      <c r="D26" s="49"/>
      <c r="E26" s="50" t="s">
        <v>201</v>
      </c>
      <c r="F26" s="51"/>
      <c r="G26" s="52">
        <v>0</v>
      </c>
      <c r="H26" s="53"/>
      <c r="I26" s="54"/>
      <c r="J26" s="52">
        <f t="shared" ref="J26" si="3">ROUND(H26*1.2977,2)</f>
        <v>0</v>
      </c>
      <c r="K26" s="55">
        <f>SUM(K27:K28)</f>
        <v>65019.03</v>
      </c>
      <c r="L26" s="22"/>
      <c r="N26" s="65"/>
    </row>
    <row r="27" spans="1:16" ht="45" x14ac:dyDescent="0.25">
      <c r="A27" s="25"/>
      <c r="B27" s="56" t="s">
        <v>132</v>
      </c>
      <c r="C27" s="57" t="s">
        <v>60</v>
      </c>
      <c r="D27" s="58" t="s">
        <v>68</v>
      </c>
      <c r="E27" s="59" t="s">
        <v>79</v>
      </c>
      <c r="F27" s="60" t="s">
        <v>91</v>
      </c>
      <c r="G27" s="61">
        <f>'MEMÓRIA DE CÁLCULO'!F26</f>
        <v>766.25</v>
      </c>
      <c r="H27" s="140">
        <v>63.7</v>
      </c>
      <c r="I27" s="63" t="s">
        <v>5</v>
      </c>
      <c r="J27" s="61">
        <f>ROUND(H27*1.2844,2)</f>
        <v>81.819999999999993</v>
      </c>
      <c r="K27" s="64">
        <f>ROUND(G27*J27,2)</f>
        <v>62694.58</v>
      </c>
      <c r="L27" s="22"/>
    </row>
    <row r="28" spans="1:16" ht="45" customHeight="1" x14ac:dyDescent="0.25">
      <c r="A28" s="25"/>
      <c r="B28" s="56" t="s">
        <v>133</v>
      </c>
      <c r="C28" s="57" t="s">
        <v>60</v>
      </c>
      <c r="D28" s="58" t="s">
        <v>101</v>
      </c>
      <c r="E28" s="59" t="s">
        <v>102</v>
      </c>
      <c r="F28" s="60" t="s">
        <v>91</v>
      </c>
      <c r="G28" s="61">
        <f>'MEMÓRIA DE CÁLCULO'!F27</f>
        <v>25.79</v>
      </c>
      <c r="H28" s="140">
        <v>70.17</v>
      </c>
      <c r="I28" s="63" t="s">
        <v>72</v>
      </c>
      <c r="J28" s="61">
        <f>ROUND(H28*1.2844,2)</f>
        <v>90.13</v>
      </c>
      <c r="K28" s="64">
        <f>ROUND(G28*J28,2)</f>
        <v>2324.4499999999998</v>
      </c>
      <c r="L28" s="22"/>
    </row>
    <row r="29" spans="1:16" x14ac:dyDescent="0.25">
      <c r="A29" s="25"/>
      <c r="B29" s="30"/>
      <c r="C29" s="31"/>
      <c r="D29" s="31"/>
      <c r="E29" s="31"/>
      <c r="F29" s="31"/>
      <c r="G29" s="31"/>
      <c r="H29" s="31"/>
      <c r="I29" s="31"/>
      <c r="J29" s="31"/>
      <c r="K29" s="32"/>
      <c r="L29" s="22"/>
    </row>
    <row r="30" spans="1:16" x14ac:dyDescent="0.25">
      <c r="A30" s="25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22"/>
    </row>
    <row r="31" spans="1:16" x14ac:dyDescent="0.25">
      <c r="A31" s="25"/>
      <c r="B31" s="239" t="s">
        <v>25</v>
      </c>
      <c r="C31" s="240"/>
      <c r="D31" s="240"/>
      <c r="E31" s="240"/>
      <c r="F31" s="240"/>
      <c r="G31" s="240"/>
      <c r="H31" s="240"/>
      <c r="I31" s="240"/>
      <c r="J31" s="240"/>
      <c r="K31" s="241"/>
      <c r="L31" s="22"/>
    </row>
    <row r="32" spans="1:16" x14ac:dyDescent="0.25">
      <c r="A32" s="25"/>
      <c r="B32" s="237"/>
      <c r="C32" s="237"/>
      <c r="D32" s="237"/>
      <c r="E32" s="237"/>
      <c r="F32" s="237"/>
      <c r="G32" s="237"/>
      <c r="H32" s="237"/>
      <c r="I32" s="237"/>
      <c r="J32" s="237"/>
      <c r="K32" s="237"/>
      <c r="L32" s="22"/>
    </row>
    <row r="33" spans="1:12" x14ac:dyDescent="0.25">
      <c r="A33" s="25"/>
      <c r="B33" s="237"/>
      <c r="C33" s="237"/>
      <c r="D33" s="237"/>
      <c r="E33" s="237"/>
      <c r="F33" s="237"/>
      <c r="G33" s="237"/>
      <c r="H33" s="237"/>
      <c r="I33" s="237"/>
      <c r="J33" s="237"/>
      <c r="K33" s="237"/>
      <c r="L33" s="22"/>
    </row>
    <row r="34" spans="1:12" x14ac:dyDescent="0.25">
      <c r="A34" s="25"/>
      <c r="B34" s="237"/>
      <c r="C34" s="237"/>
      <c r="D34" s="237"/>
      <c r="E34" s="237"/>
      <c r="F34" s="237"/>
      <c r="G34" s="237"/>
      <c r="H34" s="237"/>
      <c r="I34" s="237"/>
      <c r="J34" s="237"/>
      <c r="K34" s="237"/>
      <c r="L34" s="22"/>
    </row>
    <row r="35" spans="1:12" x14ac:dyDescent="0.25">
      <c r="A35" s="25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22"/>
    </row>
    <row r="36" spans="1:12" x14ac:dyDescent="0.25">
      <c r="A36" s="25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22"/>
    </row>
    <row r="37" spans="1:12" x14ac:dyDescent="0.25">
      <c r="A37" s="25"/>
      <c r="B37" s="242" t="str">
        <f>BDI!B42</f>
        <v>São João da Lagoa  MG</v>
      </c>
      <c r="C37" s="242"/>
      <c r="D37" s="242"/>
      <c r="E37" s="17"/>
      <c r="F37" s="67"/>
      <c r="G37" s="67"/>
      <c r="H37" s="67"/>
      <c r="I37" s="67"/>
      <c r="J37" s="17"/>
      <c r="K37" s="17"/>
      <c r="L37" s="22"/>
    </row>
    <row r="38" spans="1:12" x14ac:dyDescent="0.25">
      <c r="A38" s="25"/>
      <c r="B38" s="68" t="s">
        <v>26</v>
      </c>
      <c r="C38" s="17"/>
      <c r="D38" s="17"/>
      <c r="E38" s="17"/>
      <c r="F38" s="69" t="s">
        <v>28</v>
      </c>
      <c r="G38" s="69"/>
      <c r="H38" s="69"/>
      <c r="I38" s="69"/>
      <c r="J38" s="17"/>
      <c r="K38" s="17"/>
      <c r="L38" s="22"/>
    </row>
    <row r="39" spans="1:12" x14ac:dyDescent="0.25">
      <c r="A39" s="25"/>
      <c r="B39" s="17"/>
      <c r="C39" s="17"/>
      <c r="D39" s="17"/>
      <c r="E39" s="17"/>
      <c r="F39" s="15" t="s">
        <v>29</v>
      </c>
      <c r="G39" s="238" t="s">
        <v>43</v>
      </c>
      <c r="H39" s="238"/>
      <c r="I39" s="238"/>
      <c r="J39" s="17"/>
      <c r="K39" s="17"/>
      <c r="L39" s="22"/>
    </row>
    <row r="40" spans="1:12" x14ac:dyDescent="0.25">
      <c r="A40" s="25"/>
      <c r="B40" s="243" t="str">
        <f>BDI!H42</f>
        <v>terça-feira, 26 de maio de 2026</v>
      </c>
      <c r="C40" s="243"/>
      <c r="D40" s="243"/>
      <c r="E40" s="17"/>
      <c r="F40" s="15" t="s">
        <v>30</v>
      </c>
      <c r="G40" s="238" t="s">
        <v>44</v>
      </c>
      <c r="H40" s="238"/>
      <c r="I40" s="238"/>
      <c r="J40" s="17"/>
      <c r="K40" s="17"/>
      <c r="L40" s="22"/>
    </row>
    <row r="41" spans="1:12" x14ac:dyDescent="0.25">
      <c r="A41" s="25"/>
      <c r="B41" s="70" t="s">
        <v>27</v>
      </c>
      <c r="C41" s="71"/>
      <c r="D41" s="71"/>
      <c r="E41" s="17"/>
      <c r="F41" s="15"/>
      <c r="G41" s="238"/>
      <c r="H41" s="238"/>
      <c r="I41" s="238"/>
      <c r="J41" s="17"/>
      <c r="K41" s="17"/>
      <c r="L41" s="22"/>
    </row>
    <row r="42" spans="1:12" ht="7.5" customHeight="1" x14ac:dyDescent="0.25">
      <c r="A42" s="26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</row>
  </sheetData>
  <mergeCells count="21">
    <mergeCell ref="B9:K9"/>
    <mergeCell ref="B2:J2"/>
    <mergeCell ref="B3:J3"/>
    <mergeCell ref="B7:C7"/>
    <mergeCell ref="B8:C8"/>
    <mergeCell ref="B4:D4"/>
    <mergeCell ref="B5:D5"/>
    <mergeCell ref="E4:K4"/>
    <mergeCell ref="E5:K5"/>
    <mergeCell ref="G8:H8"/>
    <mergeCell ref="G7:H7"/>
    <mergeCell ref="E8:F8"/>
    <mergeCell ref="E7:F7"/>
    <mergeCell ref="B11:E11"/>
    <mergeCell ref="B32:K34"/>
    <mergeCell ref="G39:I39"/>
    <mergeCell ref="G40:I40"/>
    <mergeCell ref="G41:I41"/>
    <mergeCell ref="B31:K31"/>
    <mergeCell ref="B37:D37"/>
    <mergeCell ref="B40:D40"/>
  </mergeCells>
  <phoneticPr fontId="14" type="noConversion"/>
  <conditionalFormatting sqref="B9">
    <cfRule type="expression" dxfId="46" priority="82" stopIfTrue="1">
      <formula>ISERROR(INDIRECT(#REF!))</formula>
    </cfRule>
  </conditionalFormatting>
  <conditionalFormatting sqref="C12:D14 C16:D28">
    <cfRule type="expression" dxfId="45" priority="13" stopIfTrue="1">
      <formula>$B12=1</formula>
    </cfRule>
    <cfRule type="expression" dxfId="44" priority="14" stopIfTrue="1">
      <formula>OR($B12=0,$B12=2,$B12=3,$B12=4)</formula>
    </cfRule>
  </conditionalFormatting>
  <conditionalFormatting sqref="C15:D15">
    <cfRule type="expression" dxfId="43" priority="5" stopIfTrue="1">
      <formula>$C15=1</formula>
    </cfRule>
    <cfRule type="expression" dxfId="42" priority="6" stopIfTrue="1">
      <formula>OR($C15=0,$C15=2,$C15=3,$C15=4)</formula>
    </cfRule>
  </conditionalFormatting>
  <conditionalFormatting sqref="E12:E13 B12:B28 J12:K28 E16:E18 E23 E26:E27">
    <cfRule type="expression" dxfId="41" priority="73" stopIfTrue="1">
      <formula>$B12=1</formula>
    </cfRule>
    <cfRule type="expression" dxfId="40" priority="74" stopIfTrue="1">
      <formula>OR($B12=0,$B12=2,$B12=3,$B12=4)</formula>
    </cfRule>
  </conditionalFormatting>
  <conditionalFormatting sqref="F12:G15">
    <cfRule type="expression" dxfId="39" priority="10" stopIfTrue="1">
      <formula>$B12=1</formula>
    </cfRule>
  </conditionalFormatting>
  <conditionalFormatting sqref="F15:G15">
    <cfRule type="expression" dxfId="38" priority="11" stopIfTrue="1">
      <formula>OR($B15=0,$B15=2,$B15=3,$B15=4)</formula>
    </cfRule>
  </conditionalFormatting>
  <conditionalFormatting sqref="F16:G28 E28:F28">
    <cfRule type="expression" dxfId="37" priority="61" stopIfTrue="1">
      <formula>$B16=1</formula>
    </cfRule>
  </conditionalFormatting>
  <conditionalFormatting sqref="F26:G28 E28:F28 I27:I28">
    <cfRule type="expression" dxfId="36" priority="62" stopIfTrue="1">
      <formula>OR($B26=0,$B26=2,$B26=3,$B26=4)</formula>
    </cfRule>
  </conditionalFormatting>
  <conditionalFormatting sqref="F12:I14 F16:I25">
    <cfRule type="expression" dxfId="35" priority="16" stopIfTrue="1">
      <formula>OR($B12=0,$B12=2,$B12=3,$B12=4)</formula>
    </cfRule>
  </conditionalFormatting>
  <conditionalFormatting sqref="H27:H28">
    <cfRule type="expression" dxfId="34" priority="42" stopIfTrue="1">
      <formula>$C27=1</formula>
    </cfRule>
    <cfRule type="expression" dxfId="33" priority="43" stopIfTrue="1">
      <formula>OR($C27=0,$C27=2,$C27=3,$C27=4)</formula>
    </cfRule>
    <cfRule type="expression" dxfId="32" priority="44" stopIfTrue="1">
      <formula>AND(TIPOORCAMENTO="Licitado",$C27&lt;&gt;"L",$C27&lt;&gt;-1)</formula>
    </cfRule>
  </conditionalFormatting>
  <conditionalFormatting sqref="H12:I14 H16:I25 I27:I28">
    <cfRule type="expression" dxfId="31" priority="17" stopIfTrue="1">
      <formula>AND(TIPOORCAMENTO="Licitado",$B12&lt;&gt;"L",$B12&lt;&gt;-1)</formula>
    </cfRule>
  </conditionalFormatting>
  <conditionalFormatting sqref="H12:I26">
    <cfRule type="expression" dxfId="30" priority="7" stopIfTrue="1">
      <formula>$B12=1</formula>
    </cfRule>
  </conditionalFormatting>
  <conditionalFormatting sqref="H15:I15">
    <cfRule type="expression" dxfId="29" priority="8" stopIfTrue="1">
      <formula>OR($B15=0,$B15=2,$B15=3,$B15=4)</formula>
    </cfRule>
    <cfRule type="expression" dxfId="28" priority="9" stopIfTrue="1">
      <formula>AND(TIPOORCAMENTO="Licitado",$B15&lt;&gt;"L",$B15&lt;&gt;-1)</formula>
    </cfRule>
  </conditionalFormatting>
  <conditionalFormatting sqref="H26:I26">
    <cfRule type="expression" dxfId="27" priority="51" stopIfTrue="1">
      <formula>OR($B26=0,$B26=2,$B26=3,$B26=4)</formula>
    </cfRule>
    <cfRule type="expression" dxfId="26" priority="52" stopIfTrue="1">
      <formula>AND(TIPOORCAMENTO="Licitado",$B26&lt;&gt;"L",$B26&lt;&gt;-1)</formula>
    </cfRule>
  </conditionalFormatting>
  <conditionalFormatting sqref="I27:I28">
    <cfRule type="expression" dxfId="25" priority="12" stopIfTrue="1">
      <formula>$B27=1</formula>
    </cfRule>
  </conditionalFormatting>
  <dataValidations count="5">
    <dataValidation allowBlank="1" showInputMessage="1" showErrorMessage="1" prompt="Para Orçamento Proposto, o Preço Unitário é resultado do produto do Custo Unitário pelo BDI._x000a_Para Orçamento Licitado, deve ser preenchido na Coluna AL." sqref="J12:J28" xr:uid="{2F66BD13-DB74-443D-AF9F-DCB7BC881B6C}"/>
    <dataValidation allowBlank="1" showInputMessage="1" showErrorMessage="1" prompt="A entrada de quantidades é feita na coluna AJ se acompanhamento por BM, ou na aba &quot;Memória de Cálculo/PLQ&quot; se acompanhamento por PLE." sqref="G12:G28" xr:uid="{9435D31E-8F39-46DC-8664-E6873A956EA7}"/>
    <dataValidation type="list" errorStyle="warning" allowBlank="1" showErrorMessage="1" errorTitle="Aviso BDI" error="Selecione um dos 3 BDI da lista._x000a__x000a_Caso tenha mais de 3 BDI nesta Planilha Orçamentária digite apenas valor percentual." sqref="I12:I28" xr:uid="{099E3BDB-4A28-46FB-887C-CC7758443188}">
      <mc:AlternateContent xmlns:x12ac="http://schemas.microsoft.com/office/spreadsheetml/2011/1/ac" xmlns:mc="http://schemas.openxmlformats.org/markup-compatibility/2006">
        <mc:Choice Requires="x12ac">
          <x12ac:list>BDI 1,BDI 2,BDI 3,"0,00%"</x12ac:list>
        </mc:Choice>
        <mc:Fallback>
          <formula1>"BDI 1,BDI 2,BDI 3,0,00%"</formula1>
        </mc:Fallback>
      </mc:AlternateContent>
      <formula2>0</formula2>
    </dataValidation>
    <dataValidation type="list" allowBlank="1" sqref="C12:C28" xr:uid="{6A803080-FFBE-43C8-BA75-8EE08DDFB569}">
      <formula1>"SINAPI,SINAPI-I,SICRO,Composição,Cotação"</formula1>
      <formula2>0</formula2>
    </dataValidation>
    <dataValidation type="decimal" operator="greaterThan" allowBlank="1" showErrorMessage="1" error="Apenas números decimais maiores que zero." sqref="H12:H28" xr:uid="{3BB7DEE2-B581-40FA-B66A-7BBFD56D8751}">
      <formula1>0</formula1>
      <formula2>0</formula2>
    </dataValidation>
  </dataValidations>
  <pageMargins left="0.23622047244094491" right="0.23622047244094491" top="0.74803149606299213" bottom="0.74803149606299213" header="0.31496062992125984" footer="0.31496062992125984"/>
  <pageSetup paperSize="9" scale="72" fitToHeight="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63F06-9290-48FA-AD6D-F64006019ED9}">
  <dimension ref="A1:O29"/>
  <sheetViews>
    <sheetView topLeftCell="A3" workbookViewId="0">
      <selection activeCell="N12" sqref="N12"/>
    </sheetView>
  </sheetViews>
  <sheetFormatPr defaultRowHeight="15" x14ac:dyDescent="0.25"/>
  <cols>
    <col min="1" max="1" width="1.5703125" customWidth="1"/>
    <col min="3" max="3" width="47.85546875" customWidth="1"/>
    <col min="4" max="4" width="19.140625" customWidth="1"/>
    <col min="5" max="5" width="18.85546875" customWidth="1"/>
    <col min="6" max="6" width="17.140625" customWidth="1"/>
    <col min="7" max="7" width="13.42578125" customWidth="1"/>
    <col min="8" max="8" width="12.140625" customWidth="1"/>
    <col min="9" max="9" width="12" customWidth="1"/>
    <col min="10" max="10" width="1.85546875" customWidth="1"/>
    <col min="11" max="11" width="2" customWidth="1"/>
    <col min="12" max="12" width="11.140625" bestFit="1" customWidth="1"/>
    <col min="14" max="14" width="9.5703125" bestFit="1" customWidth="1"/>
  </cols>
  <sheetData>
    <row r="1" spans="1:15" x14ac:dyDescent="0.25">
      <c r="A1" s="27"/>
      <c r="B1" s="28"/>
      <c r="C1" s="28"/>
      <c r="D1" s="28"/>
      <c r="E1" s="28"/>
      <c r="F1" s="28"/>
      <c r="G1" s="28"/>
      <c r="H1" s="28"/>
      <c r="I1" s="28"/>
      <c r="J1" s="29"/>
    </row>
    <row r="2" spans="1:15" ht="15.75" x14ac:dyDescent="0.25">
      <c r="A2" s="25"/>
      <c r="B2" s="189" t="s">
        <v>85</v>
      </c>
      <c r="C2" s="189"/>
      <c r="D2" s="189"/>
      <c r="E2" s="189"/>
      <c r="F2" s="189"/>
      <c r="G2" s="189"/>
      <c r="H2" s="189"/>
      <c r="I2" s="247"/>
      <c r="J2" s="22"/>
    </row>
    <row r="3" spans="1:15" x14ac:dyDescent="0.25">
      <c r="A3" s="25"/>
      <c r="B3" s="248"/>
      <c r="C3" s="248"/>
      <c r="D3" s="248"/>
      <c r="E3" s="248"/>
      <c r="F3" s="248"/>
      <c r="G3" s="248"/>
      <c r="H3" s="248"/>
      <c r="I3" s="249"/>
      <c r="J3" s="22"/>
    </row>
    <row r="4" spans="1:15" x14ac:dyDescent="0.25">
      <c r="A4" s="25"/>
      <c r="B4" s="261" t="s">
        <v>2</v>
      </c>
      <c r="C4" s="261"/>
      <c r="D4" s="261" t="s">
        <v>45</v>
      </c>
      <c r="E4" s="261"/>
      <c r="F4" s="261"/>
      <c r="G4" s="261"/>
      <c r="H4" s="261"/>
      <c r="I4" s="261"/>
      <c r="J4" s="22"/>
    </row>
    <row r="5" spans="1:15" ht="70.5" customHeight="1" x14ac:dyDescent="0.25">
      <c r="A5" s="25"/>
      <c r="B5" s="267" t="s">
        <v>31</v>
      </c>
      <c r="C5" s="267"/>
      <c r="D5" s="262" t="str">
        <f>ORÇAMENTO!E5</f>
        <v>EXECUÇÃO DE PAVIMENTAÇÃO ASFÁLTICA EM CBUQ EM VIAS PÚBLICAS DA SEDE DO MUNICÍPIO DE SÃO JOÃO DA LAGOA/MG, CONTEMPLANDO TRECHOS DA RUA FELÍCIO BATISTA, CONTINUAÇÃO DA RUA LUIZ FERNANDES, RUA FILOMENO DE OLIVEIRA E RUA SÃO SEBASTIÃO, PT - 004683/2026 TRANSFERÊNCIA ESPECIAL ESTADUAL</v>
      </c>
      <c r="E5" s="262"/>
      <c r="F5" s="262"/>
      <c r="G5" s="262"/>
      <c r="H5" s="262"/>
      <c r="I5" s="262"/>
      <c r="J5" s="22"/>
    </row>
    <row r="6" spans="1:15" x14ac:dyDescent="0.25">
      <c r="A6" s="25"/>
      <c r="B6" s="99"/>
      <c r="C6" s="99"/>
      <c r="D6" s="99"/>
      <c r="E6" s="99"/>
      <c r="F6" s="99"/>
      <c r="G6" s="99"/>
      <c r="H6" s="99"/>
      <c r="I6" s="99"/>
      <c r="J6" s="22"/>
    </row>
    <row r="7" spans="1:15" x14ac:dyDescent="0.25">
      <c r="A7" s="25"/>
      <c r="B7" s="263" t="s">
        <v>51</v>
      </c>
      <c r="C7" s="264" t="s">
        <v>54</v>
      </c>
      <c r="D7" s="265" t="s">
        <v>81</v>
      </c>
      <c r="E7" s="266" t="s">
        <v>82</v>
      </c>
      <c r="F7" s="115">
        <v>1</v>
      </c>
      <c r="G7" s="116">
        <v>2</v>
      </c>
      <c r="H7" s="116">
        <v>3</v>
      </c>
      <c r="I7" s="116">
        <v>4</v>
      </c>
      <c r="J7" s="22"/>
    </row>
    <row r="8" spans="1:15" ht="15" customHeight="1" x14ac:dyDescent="0.25">
      <c r="A8" s="25"/>
      <c r="B8" s="263"/>
      <c r="C8" s="264"/>
      <c r="D8" s="265"/>
      <c r="E8" s="266"/>
      <c r="F8" s="117">
        <v>46235</v>
      </c>
      <c r="G8" s="118">
        <v>46266</v>
      </c>
      <c r="H8" s="118">
        <v>46296</v>
      </c>
      <c r="I8" s="118">
        <v>46327</v>
      </c>
      <c r="J8" s="22"/>
    </row>
    <row r="9" spans="1:15" ht="33.75" x14ac:dyDescent="0.25">
      <c r="A9" s="25"/>
      <c r="B9" s="119">
        <f>ORÇAMENTO!B12</f>
        <v>1</v>
      </c>
      <c r="C9" s="120" t="s">
        <v>46</v>
      </c>
      <c r="D9" s="121">
        <f>SUM(D10:D14)</f>
        <v>300497.55999999994</v>
      </c>
      <c r="E9" s="122" t="s">
        <v>83</v>
      </c>
      <c r="F9" s="142">
        <f>ROUND((((F10*$D$10)+(F13*$D$13)+(F12*$D$12)+(F14*$D$14))/$D$9),2)</f>
        <v>0.53</v>
      </c>
      <c r="G9" s="142">
        <f>ROUND((((G10*$D$10)+(G13*$D$13)+(G12*$D$12)+(G14*$D$14))/$D$9),2)</f>
        <v>0.47</v>
      </c>
      <c r="H9" s="142"/>
      <c r="I9" s="142"/>
      <c r="J9" s="22"/>
    </row>
    <row r="10" spans="1:15" ht="15" customHeight="1" x14ac:dyDescent="0.25">
      <c r="A10" s="25"/>
      <c r="B10" s="119" t="str">
        <f>ORÇAMENTO!B13</f>
        <v>1.1</v>
      </c>
      <c r="C10" s="129" t="str">
        <f>ORÇAMENTO!E13</f>
        <v>SERVIÇOS PRELIMINARES</v>
      </c>
      <c r="D10" s="121">
        <f>ORÇAMENTO!K13</f>
        <v>4852.1900000000005</v>
      </c>
      <c r="E10" s="122" t="s">
        <v>83</v>
      </c>
      <c r="F10" s="142">
        <v>1</v>
      </c>
      <c r="G10" s="142">
        <v>0</v>
      </c>
      <c r="H10" s="142">
        <v>0</v>
      </c>
      <c r="I10" s="142">
        <v>0</v>
      </c>
      <c r="J10" s="22"/>
    </row>
    <row r="11" spans="1:15" ht="15" customHeight="1" x14ac:dyDescent="0.25">
      <c r="A11" s="25"/>
      <c r="B11" s="119" t="str">
        <f>ORÇAMENTO!B16</f>
        <v>1.2</v>
      </c>
      <c r="C11" s="129" t="str">
        <f>ORÇAMENTO!E16</f>
        <v>SUBLEITO / BASESubleito/base</v>
      </c>
      <c r="D11" s="121">
        <f>ORÇAMENTO!K16</f>
        <v>0</v>
      </c>
      <c r="E11" s="122" t="s">
        <v>83</v>
      </c>
      <c r="F11" s="142"/>
      <c r="G11" s="142"/>
      <c r="H11" s="142"/>
      <c r="I11" s="142"/>
      <c r="J11" s="22"/>
    </row>
    <row r="12" spans="1:15" ht="15" customHeight="1" x14ac:dyDescent="0.25">
      <c r="A12" s="25"/>
      <c r="B12" s="119" t="str">
        <f>ORÇAMENTO!B18</f>
        <v>1.3</v>
      </c>
      <c r="C12" s="129" t="str">
        <f>ORÇAMENTO!E18</f>
        <v>IMPRIMAÇÃO E PINTURA DE LIGAÇÃO</v>
      </c>
      <c r="D12" s="121">
        <f>ORÇAMENTO!K18</f>
        <v>22428.799999999999</v>
      </c>
      <c r="E12" s="122" t="s">
        <v>83</v>
      </c>
      <c r="F12" s="142">
        <v>0.53</v>
      </c>
      <c r="G12" s="142">
        <v>0.47</v>
      </c>
      <c r="H12" s="142"/>
      <c r="I12" s="142"/>
      <c r="J12" s="22"/>
    </row>
    <row r="13" spans="1:15" x14ac:dyDescent="0.25">
      <c r="A13" s="25"/>
      <c r="B13" s="119" t="str">
        <f>ORÇAMENTO!B23</f>
        <v>1.4</v>
      </c>
      <c r="C13" s="129" t="str">
        <f>ORÇAMENTO!E23</f>
        <v>EXECUÇÃO PAVIMENTAÇÃO EM CBUQ</v>
      </c>
      <c r="D13" s="121">
        <f>ORÇAMENTO!K23</f>
        <v>208197.53999999998</v>
      </c>
      <c r="E13" s="122" t="s">
        <v>83</v>
      </c>
      <c r="F13" s="142">
        <v>0.53</v>
      </c>
      <c r="G13" s="142">
        <v>0.47</v>
      </c>
      <c r="H13" s="142"/>
      <c r="I13" s="142"/>
      <c r="J13" s="22"/>
      <c r="L13" s="7"/>
      <c r="N13" s="136"/>
      <c r="O13" s="136"/>
    </row>
    <row r="14" spans="1:15" ht="15" customHeight="1" x14ac:dyDescent="0.25">
      <c r="A14" s="25"/>
      <c r="B14" s="119" t="str">
        <f>ORÇAMENTO!B26</f>
        <v>1.5</v>
      </c>
      <c r="C14" s="129" t="str">
        <f>ORÇAMENTO!E26</f>
        <v>MEIO-FIO / DRENAGEM</v>
      </c>
      <c r="D14" s="121">
        <f>ORÇAMENTO!K26</f>
        <v>65019.03</v>
      </c>
      <c r="E14" s="122" t="s">
        <v>83</v>
      </c>
      <c r="F14" s="142">
        <v>0.51</v>
      </c>
      <c r="G14" s="142">
        <v>0.49</v>
      </c>
      <c r="H14" s="142"/>
      <c r="I14" s="142"/>
      <c r="J14" s="22"/>
      <c r="L14" s="7"/>
      <c r="N14" s="136"/>
      <c r="O14" s="136"/>
    </row>
    <row r="15" spans="1:15" ht="7.5" customHeight="1" x14ac:dyDescent="0.25">
      <c r="A15" s="25"/>
      <c r="B15" s="128"/>
      <c r="C15" s="123"/>
      <c r="D15" s="114"/>
      <c r="E15" s="114"/>
      <c r="F15" s="123"/>
      <c r="G15" s="123"/>
      <c r="H15" s="123"/>
      <c r="I15" s="123"/>
      <c r="J15" s="22"/>
    </row>
    <row r="16" spans="1:15" x14ac:dyDescent="0.25">
      <c r="A16" s="25"/>
      <c r="B16" s="269"/>
      <c r="C16" s="269"/>
      <c r="D16" s="268" t="s">
        <v>86</v>
      </c>
      <c r="E16" s="124" t="s">
        <v>84</v>
      </c>
      <c r="F16" s="125">
        <f>F9</f>
        <v>0.53</v>
      </c>
      <c r="G16" s="125">
        <f>G9</f>
        <v>0.47</v>
      </c>
      <c r="H16" s="125"/>
      <c r="I16" s="125"/>
      <c r="J16" s="22"/>
      <c r="L16" s="7"/>
    </row>
    <row r="17" spans="1:11" x14ac:dyDescent="0.25">
      <c r="A17" s="25"/>
      <c r="B17" s="269"/>
      <c r="C17" s="269"/>
      <c r="D17" s="268"/>
      <c r="E17" s="126" t="s">
        <v>87</v>
      </c>
      <c r="F17" s="127">
        <f>F9*D9</f>
        <v>159263.70679999999</v>
      </c>
      <c r="G17" s="127">
        <f>G9*D9</f>
        <v>141233.85319999995</v>
      </c>
      <c r="H17" s="127"/>
      <c r="I17" s="127"/>
      <c r="J17" s="22"/>
    </row>
    <row r="18" spans="1:11" x14ac:dyDescent="0.25">
      <c r="A18" s="25"/>
      <c r="B18" s="269"/>
      <c r="C18" s="269"/>
      <c r="D18" s="268" t="s">
        <v>88</v>
      </c>
      <c r="E18" s="124" t="s">
        <v>84</v>
      </c>
      <c r="F18" s="125">
        <f>F16</f>
        <v>0.53</v>
      </c>
      <c r="G18" s="125">
        <f>F18+G16</f>
        <v>1</v>
      </c>
      <c r="H18" s="125"/>
      <c r="I18" s="125"/>
      <c r="J18" s="22"/>
    </row>
    <row r="19" spans="1:11" x14ac:dyDescent="0.25">
      <c r="A19" s="25"/>
      <c r="B19" s="269"/>
      <c r="C19" s="269"/>
      <c r="D19" s="268"/>
      <c r="E19" s="126" t="s">
        <v>87</v>
      </c>
      <c r="F19" s="127">
        <f>F17</f>
        <v>159263.70679999999</v>
      </c>
      <c r="G19" s="127">
        <f>F19+G17</f>
        <v>300497.55999999994</v>
      </c>
      <c r="H19" s="127"/>
      <c r="I19" s="127"/>
      <c r="J19" s="22"/>
      <c r="K19" s="7"/>
    </row>
    <row r="20" spans="1:11" x14ac:dyDescent="0.25">
      <c r="A20" s="25"/>
      <c r="B20" s="17"/>
      <c r="C20" s="17"/>
      <c r="D20" s="17"/>
      <c r="E20" s="17"/>
      <c r="F20" s="17"/>
      <c r="G20" s="17"/>
      <c r="H20" s="17"/>
      <c r="I20" s="17"/>
      <c r="J20" s="22"/>
    </row>
    <row r="21" spans="1:11" ht="59.25" customHeight="1" x14ac:dyDescent="0.25">
      <c r="A21" s="25"/>
      <c r="B21" s="242" t="str">
        <f>BDI!B42</f>
        <v>São João da Lagoa  MG</v>
      </c>
      <c r="C21" s="242"/>
      <c r="D21" s="242"/>
      <c r="E21" s="17"/>
      <c r="F21" s="67"/>
      <c r="G21" s="67"/>
      <c r="H21" s="67"/>
      <c r="I21" s="67"/>
      <c r="J21" s="22"/>
    </row>
    <row r="22" spans="1:11" x14ac:dyDescent="0.25">
      <c r="A22" s="25"/>
      <c r="B22" s="68" t="s">
        <v>26</v>
      </c>
      <c r="C22" s="17"/>
      <c r="D22" s="17"/>
      <c r="E22" s="17"/>
      <c r="F22" s="69" t="s">
        <v>28</v>
      </c>
      <c r="G22" s="69"/>
      <c r="H22" s="69"/>
      <c r="I22" s="69"/>
      <c r="J22" s="22"/>
    </row>
    <row r="23" spans="1:11" x14ac:dyDescent="0.25">
      <c r="A23" s="25"/>
      <c r="B23" s="17"/>
      <c r="C23" s="17"/>
      <c r="D23" s="17"/>
      <c r="E23" s="17"/>
      <c r="F23" s="15" t="s">
        <v>29</v>
      </c>
      <c r="G23" s="238" t="s">
        <v>43</v>
      </c>
      <c r="H23" s="238"/>
      <c r="I23" s="238"/>
      <c r="J23" s="22"/>
    </row>
    <row r="24" spans="1:11" x14ac:dyDescent="0.25">
      <c r="A24" s="25"/>
      <c r="B24" s="243" t="str">
        <f>BDI!H42</f>
        <v>terça-feira, 26 de maio de 2026</v>
      </c>
      <c r="C24" s="243"/>
      <c r="D24" s="243"/>
      <c r="E24" s="17"/>
      <c r="F24" s="15" t="s">
        <v>30</v>
      </c>
      <c r="G24" s="238" t="s">
        <v>44</v>
      </c>
      <c r="H24" s="238"/>
      <c r="I24" s="238"/>
      <c r="J24" s="22"/>
    </row>
    <row r="25" spans="1:11" x14ac:dyDescent="0.25">
      <c r="A25" s="25"/>
      <c r="B25" s="70" t="s">
        <v>27</v>
      </c>
      <c r="C25" s="71"/>
      <c r="D25" s="71"/>
      <c r="E25" s="17"/>
      <c r="F25" s="15"/>
      <c r="G25" s="238"/>
      <c r="H25" s="238"/>
      <c r="I25" s="238"/>
      <c r="J25" s="22"/>
    </row>
    <row r="26" spans="1:11" ht="4.5" customHeight="1" x14ac:dyDescent="0.25">
      <c r="A26" s="26"/>
      <c r="B26" s="23"/>
      <c r="C26" s="23"/>
      <c r="D26" s="23"/>
      <c r="E26" s="23"/>
      <c r="F26" s="23"/>
      <c r="G26" s="23"/>
      <c r="H26" s="23"/>
      <c r="I26" s="23"/>
      <c r="J26" s="24"/>
    </row>
    <row r="29" spans="1:11" x14ac:dyDescent="0.25">
      <c r="D29">
        <f>ORÇAMENTO!K11</f>
        <v>300497.55999999994</v>
      </c>
    </row>
  </sheetData>
  <mergeCells count="18">
    <mergeCell ref="G23:I23"/>
    <mergeCell ref="G24:I24"/>
    <mergeCell ref="G25:I25"/>
    <mergeCell ref="B4:C4"/>
    <mergeCell ref="B5:C5"/>
    <mergeCell ref="B21:D21"/>
    <mergeCell ref="D16:D17"/>
    <mergeCell ref="D18:D19"/>
    <mergeCell ref="B16:C19"/>
    <mergeCell ref="B24:D24"/>
    <mergeCell ref="B2:I2"/>
    <mergeCell ref="B3:I3"/>
    <mergeCell ref="D4:I4"/>
    <mergeCell ref="D5:I5"/>
    <mergeCell ref="B7:B8"/>
    <mergeCell ref="C7:C8"/>
    <mergeCell ref="D7:D8"/>
    <mergeCell ref="E7:E8"/>
  </mergeCells>
  <conditionalFormatting sqref="B12:C12">
    <cfRule type="expression" dxfId="24" priority="94" stopIfTrue="1">
      <formula>$J8=2</formula>
    </cfRule>
    <cfRule type="expression" dxfId="23" priority="95" stopIfTrue="1">
      <formula>AND($J8=1,$P8&lt;&gt;"")</formula>
    </cfRule>
  </conditionalFormatting>
  <conditionalFormatting sqref="B13:D15 B16">
    <cfRule type="expression" dxfId="22" priority="13" stopIfTrue="1">
      <formula>$J7=2</formula>
    </cfRule>
    <cfRule type="expression" dxfId="21" priority="14" stopIfTrue="1">
      <formula>AND($J7=1,$P7&lt;&gt;"")</formula>
    </cfRule>
  </conditionalFormatting>
  <conditionalFormatting sqref="D9 B9:C11">
    <cfRule type="expression" dxfId="20" priority="20" stopIfTrue="1">
      <formula>$J6=2</formula>
    </cfRule>
    <cfRule type="expression" dxfId="19" priority="21" stopIfTrue="1">
      <formula>AND($J6=1,$P6&lt;&gt;"")</formula>
    </cfRule>
  </conditionalFormatting>
  <conditionalFormatting sqref="D10:D12">
    <cfRule type="expression" dxfId="18" priority="87" stopIfTrue="1">
      <formula>#REF!=2</formula>
    </cfRule>
    <cfRule type="expression" dxfId="17" priority="88" stopIfTrue="1">
      <formula>AND(#REF!=1,#REF!&lt;&gt;"")</formula>
    </cfRule>
  </conditionalFormatting>
  <conditionalFormatting sqref="F7:F8">
    <cfRule type="expression" dxfId="16" priority="89" stopIfTrue="1">
      <formula>NOT(ISNUMBER(#REF!))</formula>
    </cfRule>
  </conditionalFormatting>
  <conditionalFormatting sqref="F9:I16">
    <cfRule type="expression" dxfId="15" priority="1" stopIfTrue="1">
      <formula>F9&lt;&gt;0</formula>
    </cfRule>
  </conditionalFormatting>
  <conditionalFormatting sqref="F18:I18">
    <cfRule type="expression" dxfId="14" priority="16" stopIfTrue="1">
      <formula>F18&lt;&gt;0</formula>
    </cfRule>
  </conditionalFormatting>
  <conditionalFormatting sqref="G19:I19">
    <cfRule type="expression" dxfId="13" priority="3" stopIfTrue="1">
      <formula>OFFSET(G$33,0,-1)&gt;=1</formula>
    </cfRule>
  </conditionalFormatting>
  <dataValidations count="3">
    <dataValidation type="date" operator="greaterThan" allowBlank="1" showInputMessage="1" showErrorMessage="1" errorTitle="Erro" error="Digite somente datas." sqref="F8" xr:uid="{A48D05DD-1223-484E-9C12-F6657675C469}">
      <formula1>36526</formula1>
    </dataValidation>
    <dataValidation type="whole" operator="greaterThan" allowBlank="1" showErrorMessage="1" sqref="F7" xr:uid="{1D3363F3-FF24-425A-95A7-3C8C8FF7A437}">
      <formula1>0</formula1>
      <formula2>0</formula2>
    </dataValidation>
    <dataValidation allowBlank="1" showInputMessage="1" showErrorMessage="1" prompt="Preencha na célula de baixo. Se o acompanhamento for PLE, preencha no botão PREENCHIMENTO POR EVENTOS, acima." sqref="F18:I18 F9:I16" xr:uid="{AC027FE9-5468-47AD-A7EB-8D4777257594}"/>
  </dataValidations>
  <pageMargins left="0.511811024" right="0.511811024" top="0.78740157499999996" bottom="0.78740157499999996" header="0.31496062000000002" footer="0.31496062000000002"/>
  <pageSetup paperSize="9" scale="80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49FE-9209-4521-B2A7-DDE425C25950}">
  <dimension ref="A1:W37"/>
  <sheetViews>
    <sheetView topLeftCell="A18" zoomScale="70" zoomScaleNormal="70" workbookViewId="0">
      <selection activeCell="D25" sqref="D25:L25"/>
    </sheetView>
  </sheetViews>
  <sheetFormatPr defaultRowHeight="15" x14ac:dyDescent="0.25"/>
  <cols>
    <col min="1" max="1" width="1.85546875" style="93" customWidth="1"/>
    <col min="2" max="2" width="10.140625" style="92" customWidth="1"/>
    <col min="3" max="3" width="6.85546875" style="92" customWidth="1"/>
    <col min="4" max="4" width="44.7109375" style="92" customWidth="1"/>
    <col min="5" max="5" width="11.28515625" style="92" customWidth="1"/>
    <col min="6" max="6" width="15.28515625" style="92" customWidth="1"/>
    <col min="7" max="7" width="33.7109375" style="92" customWidth="1"/>
    <col min="8" max="8" width="22.85546875" style="92" customWidth="1"/>
    <col min="9" max="9" width="14.28515625" style="92" customWidth="1"/>
    <col min="10" max="10" width="13.28515625" style="92" customWidth="1"/>
    <col min="11" max="11" width="13.140625" style="92" customWidth="1"/>
    <col min="12" max="12" width="12.7109375" style="92" customWidth="1"/>
    <col min="13" max="13" width="2.140625" style="92" customWidth="1"/>
    <col min="14" max="14" width="12.42578125" style="92" customWidth="1"/>
    <col min="15" max="15" width="13.140625" style="92" customWidth="1"/>
    <col min="16" max="16" width="10.140625" style="92" bestFit="1" customWidth="1"/>
    <col min="17" max="17" width="9.140625" style="92"/>
    <col min="18" max="18" width="10.7109375" style="92" bestFit="1" customWidth="1"/>
    <col min="19" max="20" width="12.28515625" style="92" bestFit="1" customWidth="1"/>
    <col min="21" max="21" width="11.42578125" style="92" bestFit="1" customWidth="1"/>
    <col min="22" max="22" width="11.7109375" style="92" bestFit="1" customWidth="1"/>
    <col min="23" max="23" width="13" style="92" bestFit="1" customWidth="1"/>
    <col min="24" max="16384" width="9.140625" style="92"/>
  </cols>
  <sheetData>
    <row r="1" spans="1:16" ht="4.5" customHeight="1" x14ac:dyDescent="0.25">
      <c r="A1" s="107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9"/>
    </row>
    <row r="2" spans="1:16" ht="15.75" x14ac:dyDescent="0.25">
      <c r="A2" s="108"/>
      <c r="B2" s="93"/>
      <c r="C2" s="93"/>
      <c r="D2" s="189" t="s">
        <v>80</v>
      </c>
      <c r="E2" s="189"/>
      <c r="F2" s="189"/>
      <c r="G2" s="189"/>
      <c r="H2" s="189"/>
      <c r="I2" s="189"/>
      <c r="J2" s="189"/>
      <c r="K2" s="189"/>
      <c r="L2" s="189"/>
      <c r="M2" s="110"/>
    </row>
    <row r="3" spans="1:16" ht="15.75" x14ac:dyDescent="0.25">
      <c r="A3" s="108"/>
      <c r="B3" s="93"/>
      <c r="C3" s="93"/>
      <c r="D3" s="189" t="s">
        <v>74</v>
      </c>
      <c r="E3" s="189"/>
      <c r="F3" s="189"/>
      <c r="G3" s="189"/>
      <c r="H3" s="189"/>
      <c r="I3" s="189"/>
      <c r="J3" s="189"/>
      <c r="K3" s="189"/>
      <c r="L3" s="189"/>
      <c r="M3" s="110"/>
    </row>
    <row r="4" spans="1:16" x14ac:dyDescent="0.25">
      <c r="A4" s="108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110"/>
    </row>
    <row r="5" spans="1:16" x14ac:dyDescent="0.25">
      <c r="A5" s="108"/>
      <c r="B5" s="180" t="s">
        <v>2</v>
      </c>
      <c r="C5" s="181"/>
      <c r="D5" s="181"/>
      <c r="E5" s="182" t="s">
        <v>45</v>
      </c>
      <c r="F5" s="183"/>
      <c r="G5" s="183"/>
      <c r="H5" s="183"/>
      <c r="I5" s="183"/>
      <c r="J5" s="183"/>
      <c r="K5" s="183"/>
      <c r="L5" s="184"/>
      <c r="M5" s="110"/>
    </row>
    <row r="6" spans="1:16" ht="48.75" customHeight="1" x14ac:dyDescent="0.25">
      <c r="A6" s="108"/>
      <c r="B6" s="193" t="s">
        <v>31</v>
      </c>
      <c r="C6" s="194"/>
      <c r="D6" s="194"/>
      <c r="E6" s="185" t="str">
        <f>ORÇAMENTO!E5</f>
        <v>EXECUÇÃO DE PAVIMENTAÇÃO ASFÁLTICA EM CBUQ EM VIAS PÚBLICAS DA SEDE DO MUNICÍPIO DE SÃO JOÃO DA LAGOA/MG, CONTEMPLANDO TRECHOS DA RUA FELÍCIO BATISTA, CONTINUAÇÃO DA RUA LUIZ FERNANDES, RUA FILOMENO DE OLIVEIRA E RUA SÃO SEBASTIÃO, PT - 004683/2026 TRANSFERÊNCIA ESPECIAL ESTADUAL</v>
      </c>
      <c r="F6" s="186"/>
      <c r="G6" s="186"/>
      <c r="H6" s="186"/>
      <c r="I6" s="186"/>
      <c r="J6" s="186"/>
      <c r="K6" s="186"/>
      <c r="L6" s="187"/>
      <c r="M6" s="110"/>
    </row>
    <row r="7" spans="1:16" ht="9.75" customHeight="1" x14ac:dyDescent="0.25">
      <c r="A7" s="108"/>
      <c r="B7" s="93"/>
      <c r="C7" s="93"/>
      <c r="D7" s="95"/>
      <c r="E7" s="95"/>
      <c r="F7" s="95"/>
      <c r="G7" s="95"/>
      <c r="H7" s="96"/>
      <c r="I7" s="96"/>
      <c r="J7" s="96"/>
      <c r="K7" s="96"/>
      <c r="L7" s="97"/>
      <c r="M7" s="110"/>
    </row>
    <row r="8" spans="1:16" ht="129" customHeight="1" x14ac:dyDescent="0.25">
      <c r="A8" s="108"/>
      <c r="B8" s="93"/>
      <c r="C8" s="93"/>
      <c r="D8" s="93"/>
      <c r="E8" s="93"/>
      <c r="F8" s="93"/>
      <c r="G8" s="93"/>
      <c r="H8" s="81" t="s">
        <v>77</v>
      </c>
      <c r="I8" s="130" t="s">
        <v>109</v>
      </c>
      <c r="J8" s="130" t="s">
        <v>141</v>
      </c>
      <c r="K8" s="130" t="s">
        <v>108</v>
      </c>
      <c r="L8" s="130" t="s">
        <v>110</v>
      </c>
      <c r="M8" s="110"/>
      <c r="O8" s="134" t="s">
        <v>103</v>
      </c>
    </row>
    <row r="9" spans="1:16" ht="32.25" customHeight="1" x14ac:dyDescent="0.25">
      <c r="A9" s="108"/>
      <c r="B9" s="33" t="s">
        <v>50</v>
      </c>
      <c r="C9" s="80" t="s">
        <v>51</v>
      </c>
      <c r="D9" s="33" t="s">
        <v>54</v>
      </c>
      <c r="E9" s="34" t="s">
        <v>55</v>
      </c>
      <c r="F9" s="33" t="s">
        <v>56</v>
      </c>
      <c r="G9" s="33" t="s">
        <v>74</v>
      </c>
      <c r="H9" s="33" t="s">
        <v>75</v>
      </c>
      <c r="I9" s="33">
        <v>1</v>
      </c>
      <c r="J9" s="33"/>
      <c r="K9" s="33">
        <v>2</v>
      </c>
      <c r="L9" s="33">
        <f t="shared" ref="L9" ca="1" si="0">OFFSET(L9,0,-1)+1</f>
        <v>3</v>
      </c>
      <c r="M9" s="110"/>
    </row>
    <row r="10" spans="1:16" ht="57" customHeight="1" x14ac:dyDescent="0.25">
      <c r="A10" s="108"/>
      <c r="B10" s="87" t="str">
        <f>IF(TIPOORCAMENTO="LICITADO","CTEF","LOTE")</f>
        <v>LOTE</v>
      </c>
      <c r="C10" s="190" t="str">
        <f>ORÇAMENTO!E5</f>
        <v>EXECUÇÃO DE PAVIMENTAÇÃO ASFÁLTICA EM CBUQ EM VIAS PÚBLICAS DA SEDE DO MUNICÍPIO DE SÃO JOÃO DA LAGOA/MG, CONTEMPLANDO TRECHOS DA RUA FELÍCIO BATISTA, CONTINUAÇÃO DA RUA LUIZ FERNANDES, RUA FILOMENO DE OLIVEIRA E RUA SÃO SEBASTIÃO, PT - 004683/2026 TRANSFERÊNCIA ESPECIAL ESTADUAL</v>
      </c>
      <c r="D10" s="191"/>
      <c r="E10" s="191"/>
      <c r="F10" s="191"/>
      <c r="G10" s="192"/>
      <c r="H10" s="91" t="s">
        <v>76</v>
      </c>
      <c r="I10" s="88">
        <f>SUM((ROUND((I13*$P$13),2))+(ROUND((I14*$P$14),2))+(ROUND((I18*$P$18),2))+(ROUND((I19*$P$19),2))+(ROUND((I20*$P$20),2))+(ROUND((I21*$P$21),2))+(ROUND((I23*$P$23),2))+(ROUND(($P$24*I24),2))+(ROUND(($P$26*I26),2))+(ROUND(($P$27*I27),2)),2)</f>
        <v>84113.409999999989</v>
      </c>
      <c r="J10" s="88">
        <f t="shared" ref="J10:L10" si="1">SUM((ROUND((J13*$P$13),2))+(ROUND((J14*$P$14),2))+(ROUND((J18*$P$18),2))+(ROUND((J19*$P$19),2))+(ROUND((J20*$P$20),2))+(ROUND((J21*$P$21),2))+(ROUND((J23*$P$23),2))+(ROUND(($P$24*J24),2))+(ROUND(($P$26*J26),2))+(ROUND(($P$27*J27),2)),2)</f>
        <v>52922.78</v>
      </c>
      <c r="K10" s="88">
        <f t="shared" si="1"/>
        <v>58518.49</v>
      </c>
      <c r="L10" s="88">
        <f t="shared" si="1"/>
        <v>104950.88999999998</v>
      </c>
      <c r="M10" s="110"/>
      <c r="N10" s="92">
        <f>SUM(I10:L10)</f>
        <v>300505.56999999995</v>
      </c>
      <c r="O10" s="134">
        <f>SUM(O13:O27)</f>
        <v>0</v>
      </c>
      <c r="P10" s="133">
        <f>SUM(I10:L10)</f>
        <v>300505.56999999995</v>
      </c>
    </row>
    <row r="11" spans="1:16" x14ac:dyDescent="0.25">
      <c r="A11" s="108"/>
      <c r="B11" s="98" t="s">
        <v>59</v>
      </c>
      <c r="C11" s="89">
        <v>1</v>
      </c>
      <c r="D11" s="196" t="str">
        <f>ORÇAMENTO!E12</f>
        <v>EXECUÇÃO DE PAVIMENTAÇÃO ASFÁLTICA EM CBUQ EM VIAS PÚBLICAS DA SEDE DO MUNICÍPIO DE SÃO JOÃO DA LAGOA/MG</v>
      </c>
      <c r="E11" s="197"/>
      <c r="F11" s="197"/>
      <c r="G11" s="197"/>
      <c r="H11" s="197"/>
      <c r="I11" s="197"/>
      <c r="J11" s="197"/>
      <c r="K11" s="197"/>
      <c r="L11" s="197"/>
      <c r="M11" s="110"/>
      <c r="O11" s="134"/>
    </row>
    <row r="12" spans="1:16" x14ac:dyDescent="0.25">
      <c r="A12" s="108"/>
      <c r="B12" s="90" t="s">
        <v>61</v>
      </c>
      <c r="C12" s="89" t="s">
        <v>92</v>
      </c>
      <c r="D12" s="198" t="s">
        <v>62</v>
      </c>
      <c r="E12" s="199"/>
      <c r="F12" s="199"/>
      <c r="G12" s="199"/>
      <c r="H12" s="199"/>
      <c r="I12" s="199"/>
      <c r="J12" s="199"/>
      <c r="K12" s="199"/>
      <c r="L12" s="199"/>
      <c r="M12" s="110"/>
      <c r="O12" s="134"/>
    </row>
    <row r="13" spans="1:16" ht="139.5" customHeight="1" x14ac:dyDescent="0.25">
      <c r="A13" s="108"/>
      <c r="B13" s="99" t="s">
        <v>59</v>
      </c>
      <c r="C13" s="82" t="str">
        <f>ORÇAMENTO!B14</f>
        <v>1.1.1</v>
      </c>
      <c r="D13" s="100" t="str">
        <f>ORÇAMENTO!E14</f>
        <v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v>
      </c>
      <c r="E13" s="83" t="str">
        <f>ORÇAMENTO!F14</f>
        <v>UNI</v>
      </c>
      <c r="F13" s="61">
        <f>SUM(I13:L13)</f>
        <v>1</v>
      </c>
      <c r="G13" s="84" t="s">
        <v>111</v>
      </c>
      <c r="H13" s="85" t="str">
        <f ca="1">IF($E13&lt;&gt;"Serviço","",IF(AUTOEVENTO="Manual",IF(#REF!=0,"&lt;-- defina o número do agrupador",OFFSET([1]EVENTOS!$D$14,#REF!,0)),OFFSET($G$10,#REF!,0)))</f>
        <v/>
      </c>
      <c r="I13" s="86"/>
      <c r="J13" s="86"/>
      <c r="K13" s="86">
        <v>1</v>
      </c>
      <c r="L13" s="86"/>
      <c r="M13" s="110"/>
      <c r="O13" s="134"/>
      <c r="P13" s="92">
        <f>ORÇAMENTO!J14</f>
        <v>1524.71</v>
      </c>
    </row>
    <row r="14" spans="1:16" ht="64.5" customHeight="1" x14ac:dyDescent="0.25">
      <c r="A14" s="108"/>
      <c r="B14" s="99" t="s">
        <v>59</v>
      </c>
      <c r="C14" s="82" t="str">
        <f>ORÇAMENTO!B15</f>
        <v>1.1.2</v>
      </c>
      <c r="D14" s="100" t="str">
        <f>ORÇAMENTO!E15</f>
        <v>LOCAÇÃO TOPOGRÁFICA DE VINTE UM (21) ATÉ CINQUENTA (50) PONTOS REFERENCIAIS, INCLUSIVE ESTACA (PIQUETE) DE MARCAÇÃO</v>
      </c>
      <c r="E14" s="83" t="str">
        <f>ORÇAMENTO!F15</f>
        <v>UNI</v>
      </c>
      <c r="F14" s="61">
        <f>SUM(I14:L14)</f>
        <v>36</v>
      </c>
      <c r="G14" s="84" t="s">
        <v>111</v>
      </c>
      <c r="H14" s="85" t="str">
        <f ca="1">IF($E14&lt;&gt;"Serviço","",IF(AUTOEVENTO="Manual",IF(#REF!=0,"&lt;-- defina o número do agrupador",OFFSET([1]EVENTOS!$D$14,#REF!,0)),OFFSET($G$10,#REF!,0)))</f>
        <v/>
      </c>
      <c r="I14" s="86">
        <v>14</v>
      </c>
      <c r="J14" s="86">
        <v>8</v>
      </c>
      <c r="K14" s="86">
        <v>6</v>
      </c>
      <c r="L14" s="86">
        <v>8</v>
      </c>
      <c r="M14" s="110"/>
      <c r="O14" s="134"/>
      <c r="P14" s="92">
        <f>ORÇAMENTO!J15</f>
        <v>92.43</v>
      </c>
    </row>
    <row r="15" spans="1:16" x14ac:dyDescent="0.25">
      <c r="A15" s="108"/>
      <c r="B15" s="90" t="s">
        <v>61</v>
      </c>
      <c r="C15" s="89" t="s">
        <v>94</v>
      </c>
      <c r="D15" s="198" t="s">
        <v>64</v>
      </c>
      <c r="E15" s="199"/>
      <c r="F15" s="199"/>
      <c r="G15" s="199"/>
      <c r="H15" s="199"/>
      <c r="I15" s="199"/>
      <c r="J15" s="199"/>
      <c r="K15" s="199"/>
      <c r="L15" s="199"/>
      <c r="M15" s="110"/>
      <c r="O15" s="134"/>
      <c r="P15" s="92">
        <f>ORÇAMENTO!J16</f>
        <v>0</v>
      </c>
    </row>
    <row r="16" spans="1:16" x14ac:dyDescent="0.25">
      <c r="A16" s="108"/>
      <c r="B16" s="99" t="s">
        <v>59</v>
      </c>
      <c r="C16" s="82" t="s">
        <v>95</v>
      </c>
      <c r="D16" s="100" t="str">
        <f>ORÇAMENTO!E17</f>
        <v>A CARGO DA PREFEITURA</v>
      </c>
      <c r="E16" s="83" t="str">
        <f ca="1">IF($E16&lt;&gt;"Serviço","",OFFSET([1]ORÇAMENTO!P$15,ROW(E16)-ROW(E$10),0))</f>
        <v>-</v>
      </c>
      <c r="F16" s="61">
        <v>0</v>
      </c>
      <c r="G16" s="84"/>
      <c r="H16" s="85" t="str">
        <f ca="1">IF($E16&lt;&gt;"Serviço","",IF(AUTOEVENTO="Manual",IF(#REF!=0,"&lt;-- defina o número do agrupador",OFFSET([1]EVENTOS!$D$14,#REF!,0)),OFFSET($G$10,#REF!,0)))</f>
        <v>Subleito/base</v>
      </c>
      <c r="I16" s="86"/>
      <c r="J16" s="86"/>
      <c r="K16" s="86"/>
      <c r="L16" s="86"/>
      <c r="M16" s="110"/>
      <c r="O16" s="134"/>
      <c r="P16" s="92">
        <f>ORÇAMENTO!J17</f>
        <v>0</v>
      </c>
    </row>
    <row r="17" spans="1:23" x14ac:dyDescent="0.25">
      <c r="A17" s="108"/>
      <c r="B17" s="90" t="s">
        <v>61</v>
      </c>
      <c r="C17" s="89" t="str">
        <f>ORÇAMENTO!B18</f>
        <v>1.3</v>
      </c>
      <c r="D17" s="198" t="str">
        <f>ORÇAMENTO!E18</f>
        <v>IMPRIMAÇÃO E PINTURA DE LIGAÇÃO</v>
      </c>
      <c r="E17" s="199"/>
      <c r="F17" s="199"/>
      <c r="G17" s="199"/>
      <c r="H17" s="199"/>
      <c r="I17" s="199"/>
      <c r="J17" s="199"/>
      <c r="K17" s="199"/>
      <c r="L17" s="199"/>
      <c r="M17" s="110"/>
      <c r="O17" s="134"/>
      <c r="P17" s="92">
        <f>ORÇAMENTO!J18</f>
        <v>0</v>
      </c>
    </row>
    <row r="18" spans="1:23" ht="75" x14ac:dyDescent="0.25">
      <c r="A18" s="108"/>
      <c r="B18" s="99" t="s">
        <v>59</v>
      </c>
      <c r="C18" s="82" t="str">
        <f>ORÇAMENTO!B19</f>
        <v>1.3.1</v>
      </c>
      <c r="D18" s="100" t="str">
        <f>ORÇAMENTO!E19</f>
        <v>EXECUÇÃO DE IMPRIMAÇÃO COM EMULSÃO ASFÁLTICA PARA SERVIÇO DE IMPRIMAÇÃO (EAI)</v>
      </c>
      <c r="E18" s="83" t="str">
        <f>ORÇAMENTO!F19</f>
        <v>M²</v>
      </c>
      <c r="F18" s="61">
        <f>SUM(I18:L18)</f>
        <v>2394</v>
      </c>
      <c r="G18" s="84" t="s">
        <v>202</v>
      </c>
      <c r="H18" s="85" t="str">
        <f ca="1">IF($E18&lt;&gt;"Serviço","",IF(AUTOEVENTO="Manual",IF(#REF!=0,"&lt;-- defina o número do agrupador",OFFSET([1]EVENTOS!$D$14,#REF!,0)),OFFSET($G$10,#REF!,0)))</f>
        <v/>
      </c>
      <c r="I18" s="86">
        <v>622.35</v>
      </c>
      <c r="J18" s="86">
        <v>391.82</v>
      </c>
      <c r="K18" s="86">
        <v>429.22</v>
      </c>
      <c r="L18" s="86">
        <v>950.61</v>
      </c>
      <c r="M18" s="110"/>
      <c r="O18" s="134"/>
      <c r="P18" s="92">
        <f>ORÇAMENTO!J19</f>
        <v>5.47</v>
      </c>
      <c r="R18" s="177"/>
    </row>
    <row r="19" spans="1:23" ht="120" x14ac:dyDescent="0.25">
      <c r="A19" s="108"/>
      <c r="B19" s="99" t="s">
        <v>59</v>
      </c>
      <c r="C19" s="82" t="str">
        <f>ORÇAMENTO!B20</f>
        <v>1.3.2</v>
      </c>
      <c r="D19" s="100" t="str">
        <f>ORÇAMENTO!E20</f>
        <v>TRANSPORTE COM CAMINHÃO TANQUE DE TRANSPORTE DE MATERIAL ASFÁLTICO DE 30000 L, EM VIA URBANA PAVIMENTADA, ADICIONAL PARA DMT EXCEDENTE A 30 KM (UNIDADE: TXKM). AF_07/2020 (EMULSÃO ASFÁLTICA PARA SERVIÇO DE IMPRIMAÇÃO - REFINARIA&gt;OBRA - DMT EXCEDENTE À 30,00KM - DMT TOTAL ATÉ 448,00KM)</v>
      </c>
      <c r="E19" s="83" t="str">
        <f>ORÇAMENTO!F20</f>
        <v>TxKM</v>
      </c>
      <c r="F19" s="61">
        <f t="shared" ref="F19:F21" si="2">SUM(I19:L19)</f>
        <v>1287.02</v>
      </c>
      <c r="G19" s="84" t="s">
        <v>203</v>
      </c>
      <c r="H19" s="85" t="str">
        <f ca="1">IF($E19&lt;&gt;"Serviço","",IF(AUTOEVENTO="Manual",IF(#REF!=0,"&lt;-- defina o número do agrupador",OFFSET([1]EVENTOS!$D$14,#REF!,0)),OFFSET($G$10,#REF!,0)))</f>
        <v/>
      </c>
      <c r="I19" s="86">
        <f>ROUND(I18*0.0012*448,2)</f>
        <v>334.58</v>
      </c>
      <c r="J19" s="86">
        <f>ROUND(J18*0.0012*448,2)</f>
        <v>210.64</v>
      </c>
      <c r="K19" s="86">
        <f t="shared" ref="K19:L19" si="3">ROUND(K18*0.0012*448,2)</f>
        <v>230.75</v>
      </c>
      <c r="L19" s="86">
        <f t="shared" si="3"/>
        <v>511.05</v>
      </c>
      <c r="M19" s="110"/>
      <c r="O19" s="134"/>
      <c r="P19" s="92">
        <f>ORÇAMENTO!J20</f>
        <v>0.81</v>
      </c>
    </row>
    <row r="20" spans="1:23" ht="75" x14ac:dyDescent="0.25">
      <c r="A20" s="108"/>
      <c r="B20" s="99" t="s">
        <v>59</v>
      </c>
      <c r="C20" s="82" t="str">
        <f>ORÇAMENTO!B21</f>
        <v>1.3.3</v>
      </c>
      <c r="D20" s="100" t="str">
        <f>ORÇAMENTO!E21</f>
        <v>EXECUÇÃO DE PINTURA DE LIGAÇÃO COM EMULSÃO ASFÁLTICA RR-2C.</v>
      </c>
      <c r="E20" s="83" t="str">
        <f>ORÇAMENTO!F21</f>
        <v>M²</v>
      </c>
      <c r="F20" s="61">
        <f t="shared" si="2"/>
        <v>2394</v>
      </c>
      <c r="G20" s="84" t="s">
        <v>204</v>
      </c>
      <c r="H20" s="85" t="str">
        <f ca="1">IF($E20&lt;&gt;"Serviço","",IF(AUTOEVENTO="Manual",IF(#REF!=0,"&lt;-- defina o número do agrupador",OFFSET([1]EVENTOS!$D$14,#REF!,0)),OFFSET($G$10,#REF!,0)))</f>
        <v/>
      </c>
      <c r="I20" s="86">
        <f>I18</f>
        <v>622.35</v>
      </c>
      <c r="J20" s="86">
        <f t="shared" ref="J20:L20" si="4">J18</f>
        <v>391.82</v>
      </c>
      <c r="K20" s="86">
        <f t="shared" si="4"/>
        <v>429.22</v>
      </c>
      <c r="L20" s="86">
        <f t="shared" si="4"/>
        <v>950.61</v>
      </c>
      <c r="M20" s="110"/>
      <c r="O20" s="134"/>
      <c r="P20" s="92">
        <f>ORÇAMENTO!J21</f>
        <v>3.3</v>
      </c>
    </row>
    <row r="21" spans="1:23" ht="120" x14ac:dyDescent="0.25">
      <c r="A21" s="108"/>
      <c r="B21" s="99" t="s">
        <v>59</v>
      </c>
      <c r="C21" s="82" t="str">
        <f>ORÇAMENTO!B22</f>
        <v>1.3.4</v>
      </c>
      <c r="D21" s="100" t="str">
        <f>ORÇAMENTO!E22</f>
        <v>TRANSPORTE COM CAMINHÃO TANQUE DE TRANSPORTE DE MATERIAL ASFÁLTICO DE 30000 L, EM VIA URBANA PAVIMENTADA, ADICIONAL PARA DMT EXCEDENTE A 30 KM (UNIDADE: TXKM). AF_07/2020 (EMULSÃO ASFÁLTICA RR-2C PARA SERVIÇO DE PINTURA DE LIGAÇÃO - REFINARIA&gt;OBRA  - DMT EXCEDENTE Á 30,00KM - DMT TOTAL ATÉ 448,00KM)</v>
      </c>
      <c r="E21" s="83" t="str">
        <f>ORÇAMENTO!F22</f>
        <v>TxKM</v>
      </c>
      <c r="F21" s="61">
        <f t="shared" si="2"/>
        <v>482.63</v>
      </c>
      <c r="G21" s="84" t="s">
        <v>205</v>
      </c>
      <c r="H21" s="85" t="str">
        <f ca="1">IF($E21&lt;&gt;"Serviço","",IF(AUTOEVENTO="Manual",IF(#REF!=0,"&lt;-- defina o número do agrupador",OFFSET([1]EVENTOS!$D$14,#REF!,0)),OFFSET($G$10,#REF!,0)))</f>
        <v/>
      </c>
      <c r="I21" s="86">
        <f>ROUND(I20*0.00045*448,2)</f>
        <v>125.47</v>
      </c>
      <c r="J21" s="86">
        <f>ROUND(J20*0.00045*448,2)</f>
        <v>78.989999999999995</v>
      </c>
      <c r="K21" s="86">
        <f t="shared" ref="K21:L21" si="5">ROUND(K20*0.00045*448,2)</f>
        <v>86.53</v>
      </c>
      <c r="L21" s="86">
        <f t="shared" si="5"/>
        <v>191.64</v>
      </c>
      <c r="M21" s="110"/>
      <c r="O21" s="134"/>
      <c r="P21" s="92">
        <f>ORÇAMENTO!J22</f>
        <v>0.81</v>
      </c>
    </row>
    <row r="22" spans="1:23" x14ac:dyDescent="0.25">
      <c r="A22" s="108"/>
      <c r="B22" s="90" t="s">
        <v>61</v>
      </c>
      <c r="C22" s="89" t="s">
        <v>98</v>
      </c>
      <c r="D22" s="198" t="s">
        <v>66</v>
      </c>
      <c r="E22" s="199"/>
      <c r="F22" s="199"/>
      <c r="G22" s="199"/>
      <c r="H22" s="199"/>
      <c r="I22" s="199"/>
      <c r="J22" s="199"/>
      <c r="K22" s="199"/>
      <c r="L22" s="199"/>
      <c r="M22" s="110"/>
      <c r="O22" s="134"/>
      <c r="P22" s="92">
        <f>ORÇAMENTO!J23</f>
        <v>0</v>
      </c>
    </row>
    <row r="23" spans="1:23" ht="90" x14ac:dyDescent="0.25">
      <c r="A23" s="108"/>
      <c r="B23" s="99" t="s">
        <v>59</v>
      </c>
      <c r="C23" s="82" t="str">
        <f>ORÇAMENTO!B24</f>
        <v>1.4.1</v>
      </c>
      <c r="D23" s="100" t="str">
        <f>ORÇAMENTO!E24</f>
        <v>EXECUÇÃO E APLICAÇÃO DE CONCRETO BETUMINOSO USINADO A QUENTE (CBUQ), MASSA COMERCIAL, INCLUINDO FORNECIMENTO E TRANSPORTE DOS AGREGADOS E MATERIAL BETUMINOSO, EXCLUSIVE TRANSPORTE DA MASSA ASFÁLTICA ATÉ A PISTA</v>
      </c>
      <c r="E23" s="83" t="str">
        <f>ORÇAMENTO!F24</f>
        <v>M³</v>
      </c>
      <c r="F23" s="61">
        <f>SUM(I23:L23)</f>
        <v>86.25</v>
      </c>
      <c r="G23" s="84" t="s">
        <v>206</v>
      </c>
      <c r="H23" s="85" t="str">
        <f ca="1">IF($E23&lt;&gt;"Serviço","",IF(AUTOEVENTO="Manual",IF(#REF!=0,"&lt;-- defina o número do agrupador",OFFSET([1]EVENTOS!$D$14,#REF!,0)),OFFSET($G$10,#REF!,0)))</f>
        <v/>
      </c>
      <c r="I23" s="86">
        <f>ROUND(I18*0.04,2)</f>
        <v>24.89</v>
      </c>
      <c r="J23" s="86">
        <f t="shared" ref="J23:K23" si="6">ROUND(J18*0.04,2)</f>
        <v>15.67</v>
      </c>
      <c r="K23" s="86">
        <f t="shared" si="6"/>
        <v>17.170000000000002</v>
      </c>
      <c r="L23" s="86">
        <f>ROUND(L18*0.03,2)</f>
        <v>28.52</v>
      </c>
      <c r="M23" s="110"/>
      <c r="O23" s="134"/>
      <c r="P23" s="92">
        <f>ORÇAMENTO!J24</f>
        <v>2312.36</v>
      </c>
      <c r="R23" s="177"/>
      <c r="S23" s="178">
        <v>1792.08</v>
      </c>
      <c r="T23" s="178">
        <v>1128.24</v>
      </c>
      <c r="U23" s="178">
        <v>1236.2400000000002</v>
      </c>
      <c r="V23" s="178">
        <v>2053.44</v>
      </c>
    </row>
    <row r="24" spans="1:23" ht="105" customHeight="1" x14ac:dyDescent="0.25">
      <c r="A24" s="108"/>
      <c r="B24" s="99" t="s">
        <v>59</v>
      </c>
      <c r="C24" s="82" t="str">
        <f>ORÇAMENTO!B25</f>
        <v>1.4.2</v>
      </c>
      <c r="D24" s="100" t="str">
        <f>ORÇAMENTO!E25</f>
        <v>TRANSPORTE COM CAMINHÃO BASCULANTE DE 10 M³, EM VIA URBANA PAVIMENTADA, ADICIONAL PARA DMT EXCEDENTE A 30 KM (UNIDADE: M3XKM). AF_07/2020 (MASSA CBUQ - USINA&gt;OBRA - DMT ATÉ 72,00KM)</v>
      </c>
      <c r="E24" s="83" t="str">
        <f>ORÇAMENTO!F25</f>
        <v>M³xKM</v>
      </c>
      <c r="F24" s="61">
        <f>SUM(I24:L24)</f>
        <v>6210.2800000000007</v>
      </c>
      <c r="G24" s="84" t="s">
        <v>212</v>
      </c>
      <c r="H24" s="85" t="str">
        <f ca="1">IF($E24&lt;&gt;"Serviço","",IF(AUTOEVENTO="Manual",IF(#REF!=0,"&lt;-- defina o número do agrupador",OFFSET([1]EVENTOS!$D$14,#REF!,0)),OFFSET($G$10,#REF!,0)))</f>
        <v/>
      </c>
      <c r="I24" s="86">
        <v>1792.15</v>
      </c>
      <c r="J24" s="86">
        <v>1128.31</v>
      </c>
      <c r="K24" s="86">
        <v>1236.31</v>
      </c>
      <c r="L24" s="86">
        <v>2053.5100000000002</v>
      </c>
      <c r="M24" s="110"/>
      <c r="O24" s="134"/>
      <c r="P24" s="92">
        <f>ORÇAMENTO!J25</f>
        <v>1.41</v>
      </c>
      <c r="Q24" s="137"/>
      <c r="S24" s="135">
        <f>ROUND(((I24*P24)+(K24*P24)),2)</f>
        <v>4270.13</v>
      </c>
      <c r="T24" s="135">
        <f>ROUND(L24*P24,2)</f>
        <v>2895.45</v>
      </c>
      <c r="W24" s="135">
        <f>S24+T24</f>
        <v>7165.58</v>
      </c>
    </row>
    <row r="25" spans="1:23" x14ac:dyDescent="0.25">
      <c r="A25" s="108"/>
      <c r="B25" s="131" t="s">
        <v>61</v>
      </c>
      <c r="C25" s="132" t="s">
        <v>131</v>
      </c>
      <c r="D25" s="200" t="s">
        <v>67</v>
      </c>
      <c r="E25" s="201"/>
      <c r="F25" s="201"/>
      <c r="G25" s="201"/>
      <c r="H25" s="201"/>
      <c r="I25" s="201"/>
      <c r="J25" s="201"/>
      <c r="K25" s="201"/>
      <c r="L25" s="201"/>
      <c r="M25" s="110"/>
      <c r="O25" s="134"/>
      <c r="P25" s="92">
        <f>ORÇAMENTO!J26</f>
        <v>0</v>
      </c>
    </row>
    <row r="26" spans="1:23" ht="120" x14ac:dyDescent="0.25">
      <c r="A26" s="108"/>
      <c r="B26" s="99" t="s">
        <v>59</v>
      </c>
      <c r="C26" s="82" t="str">
        <f>ORÇAMENTO!B27</f>
        <v>1.5.1</v>
      </c>
      <c r="D26" s="100" t="str">
        <f>ORÇAMENTO!E27</f>
        <v>GUIA (MEIO-FIO) E SARJETA CONJUGADOS DE CONCRETO, MOLDADA  IN LOCO  EM TRECHO RETO COM EXTRUSORA, 45 CM BASE (15 CM BASE DA GUIA + 30 CM BASE DA SARJETA) X 22 CM ALTURA. AF_01/2024</v>
      </c>
      <c r="E26" s="83" t="str">
        <f>ORÇAMENTO!F27</f>
        <v>M</v>
      </c>
      <c r="F26" s="139">
        <f>SUM(I26:L26)</f>
        <v>766.25</v>
      </c>
      <c r="G26" s="84" t="s">
        <v>207</v>
      </c>
      <c r="H26" s="85" t="str">
        <f ca="1">IF($E26&lt;&gt;"Serviço","",IF(AUTOEVENTO="Manual",IF(#REF!=0,"&lt;-- defina o número do agrupador",OFFSET([1]EVENTOS!$D$14,#REF!,0)),OFFSET($G$10,#REF!,0)))</f>
        <v/>
      </c>
      <c r="I26" s="138">
        <f>90.18+99+10.34</f>
        <v>199.52</v>
      </c>
      <c r="J26" s="86">
        <f>64.95+65.64</f>
        <v>130.59</v>
      </c>
      <c r="K26" s="138">
        <f>14.52+63.91+50.01</f>
        <v>128.44</v>
      </c>
      <c r="L26" s="138">
        <f>66.82+73.62+86.34+80.92</f>
        <v>307.7</v>
      </c>
      <c r="M26" s="110"/>
      <c r="O26" s="134"/>
      <c r="P26" s="92">
        <f>ORÇAMENTO!J27</f>
        <v>81.819999999999993</v>
      </c>
      <c r="Q26" s="179"/>
      <c r="R26" s="179"/>
      <c r="S26" s="135">
        <f>ROUND(((I26*P26)+(K26*P26)),2)</f>
        <v>26833.69</v>
      </c>
      <c r="T26" s="135">
        <f>ROUND(L26*P26,2)</f>
        <v>25176.01</v>
      </c>
      <c r="W26" s="135">
        <f>S26+T26</f>
        <v>52009.7</v>
      </c>
    </row>
    <row r="27" spans="1:23" ht="75" x14ac:dyDescent="0.25">
      <c r="A27" s="108"/>
      <c r="B27" s="99" t="s">
        <v>59</v>
      </c>
      <c r="C27" s="82" t="str">
        <f>ORÇAMENTO!B28</f>
        <v>1.5.2</v>
      </c>
      <c r="D27" s="100" t="str">
        <f>ORÇAMENTO!E28</f>
        <v>GUIA (MEIO-FIO) E SARJETA CONJUGADOS DE CONCRETO, MOLDADA  IN LOCO  EM TRECHO CURVO COM EXTRUSORA, 45 CM BASE (15 CM BASE DA GUIA + 30 CM BASE DA SARJETA) X 22 CM ALTURA. AF_01/2024</v>
      </c>
      <c r="E27" s="83" t="str">
        <f>ORÇAMENTO!F28</f>
        <v>M</v>
      </c>
      <c r="F27" s="61">
        <f>SUM(I27:L27)</f>
        <v>25.79</v>
      </c>
      <c r="G27" s="84" t="s">
        <v>113</v>
      </c>
      <c r="H27" s="85" t="str">
        <f ca="1">IF($E27&lt;&gt;"Serviço","",IF(AUTOEVENTO="Manual",IF(#REF!=0,"&lt;-- defina o número do agrupador",OFFSET([1]EVENTOS!$D$14,#REF!,0)),OFFSET($G$10,#REF!,0)))</f>
        <v/>
      </c>
      <c r="I27" s="86">
        <f>2.29+4.15</f>
        <v>6.44</v>
      </c>
      <c r="J27" s="86"/>
      <c r="K27" s="86">
        <v>5.1100000000000003</v>
      </c>
      <c r="L27" s="86">
        <f>6.33+2.1+5.81</f>
        <v>14.239999999999998</v>
      </c>
      <c r="M27" s="110"/>
      <c r="O27" s="134"/>
      <c r="P27" s="92">
        <f>ORÇAMENTO!J28</f>
        <v>90.13</v>
      </c>
      <c r="Q27" s="179"/>
      <c r="R27" s="179"/>
      <c r="S27" s="135">
        <f t="shared" ref="S27" si="7">ROUND(((I27*P27)+(K27*P27)),2)</f>
        <v>1041</v>
      </c>
      <c r="T27" s="135">
        <f t="shared" ref="T27" si="8">ROUND(L27*P27,2)</f>
        <v>1283.45</v>
      </c>
      <c r="W27" s="135">
        <f t="shared" ref="W27" si="9">S27+T27</f>
        <v>2324.4499999999998</v>
      </c>
    </row>
    <row r="28" spans="1:23" x14ac:dyDescent="0.25">
      <c r="A28" s="108"/>
      <c r="B28" s="202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110"/>
      <c r="S28" s="135">
        <f>SUM(S26:S27)</f>
        <v>27874.69</v>
      </c>
      <c r="T28" s="135">
        <f>SUM(T26:T27)</f>
        <v>26459.46</v>
      </c>
    </row>
    <row r="29" spans="1:23" x14ac:dyDescent="0.25">
      <c r="A29" s="108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110"/>
    </row>
    <row r="30" spans="1:23" ht="45" customHeight="1" x14ac:dyDescent="0.25">
      <c r="A30" s="108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110"/>
    </row>
    <row r="31" spans="1:23" x14ac:dyDescent="0.25">
      <c r="A31" s="108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110"/>
    </row>
    <row r="32" spans="1:23" x14ac:dyDescent="0.25">
      <c r="A32" s="108"/>
      <c r="B32" s="93"/>
      <c r="C32" s="93"/>
      <c r="D32" s="101" t="str">
        <f>BDI!B42</f>
        <v>São João da Lagoa  MG</v>
      </c>
      <c r="E32" s="93"/>
      <c r="F32" s="93"/>
      <c r="G32" s="93"/>
      <c r="H32" s="93"/>
      <c r="I32" s="67"/>
      <c r="J32" s="67"/>
      <c r="K32" s="67"/>
      <c r="L32" s="67"/>
      <c r="M32" s="110"/>
    </row>
    <row r="33" spans="1:16" x14ac:dyDescent="0.25">
      <c r="A33" s="108"/>
      <c r="B33" s="93"/>
      <c r="C33" s="93"/>
      <c r="D33" s="102" t="s">
        <v>26</v>
      </c>
      <c r="E33" s="93"/>
      <c r="F33" s="93"/>
      <c r="G33" s="69"/>
      <c r="H33" s="93"/>
      <c r="I33" s="195" t="s">
        <v>28</v>
      </c>
      <c r="J33" s="195"/>
      <c r="K33" s="195"/>
      <c r="L33" s="195"/>
      <c r="M33" s="110"/>
      <c r="O33" s="179" t="s">
        <v>106</v>
      </c>
      <c r="P33" s="179"/>
    </row>
    <row r="34" spans="1:16" x14ac:dyDescent="0.25">
      <c r="A34" s="108"/>
      <c r="B34" s="93"/>
      <c r="C34" s="93"/>
      <c r="D34" s="93"/>
      <c r="E34" s="93"/>
      <c r="F34" s="93"/>
      <c r="G34" s="103"/>
      <c r="H34" s="93"/>
      <c r="I34" s="94" t="s">
        <v>29</v>
      </c>
      <c r="J34" s="188" t="s">
        <v>43</v>
      </c>
      <c r="K34" s="188"/>
      <c r="L34" s="188"/>
      <c r="M34" s="110"/>
      <c r="O34" s="179" t="s">
        <v>107</v>
      </c>
      <c r="P34" s="179"/>
    </row>
    <row r="35" spans="1:16" x14ac:dyDescent="0.25">
      <c r="A35" s="108"/>
      <c r="B35" s="93"/>
      <c r="C35" s="93"/>
      <c r="D35" s="104" t="str">
        <f>BDI!H42</f>
        <v>terça-feira, 26 de maio de 2026</v>
      </c>
      <c r="E35" s="93"/>
      <c r="F35" s="93"/>
      <c r="G35" s="103"/>
      <c r="H35" s="93"/>
      <c r="I35" s="94" t="s">
        <v>30</v>
      </c>
      <c r="J35" s="188" t="s">
        <v>44</v>
      </c>
      <c r="K35" s="188"/>
      <c r="L35" s="188"/>
      <c r="M35" s="110"/>
    </row>
    <row r="36" spans="1:16" x14ac:dyDescent="0.25">
      <c r="A36" s="108"/>
      <c r="B36" s="93"/>
      <c r="C36" s="93"/>
      <c r="D36" s="105" t="s">
        <v>27</v>
      </c>
      <c r="E36" s="93"/>
      <c r="F36" s="93"/>
      <c r="G36" s="103"/>
      <c r="H36" s="93"/>
      <c r="I36" s="94"/>
      <c r="J36" s="94"/>
      <c r="K36" s="188"/>
      <c r="L36" s="188"/>
      <c r="M36" s="110"/>
    </row>
    <row r="37" spans="1:16" ht="5.25" customHeight="1" x14ac:dyDescent="0.25">
      <c r="A37" s="111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3"/>
    </row>
  </sheetData>
  <mergeCells count="22">
    <mergeCell ref="D2:L2"/>
    <mergeCell ref="D3:L3"/>
    <mergeCell ref="K36:L36"/>
    <mergeCell ref="C10:G10"/>
    <mergeCell ref="B6:D6"/>
    <mergeCell ref="I33:L33"/>
    <mergeCell ref="D11:L11"/>
    <mergeCell ref="D12:L12"/>
    <mergeCell ref="D15:L15"/>
    <mergeCell ref="D22:L22"/>
    <mergeCell ref="D25:L25"/>
    <mergeCell ref="B28:L28"/>
    <mergeCell ref="D17:L17"/>
    <mergeCell ref="J35:L35"/>
    <mergeCell ref="O33:P33"/>
    <mergeCell ref="O34:P34"/>
    <mergeCell ref="Q26:Q27"/>
    <mergeCell ref="R26:R27"/>
    <mergeCell ref="B5:D5"/>
    <mergeCell ref="E5:L5"/>
    <mergeCell ref="E6:L6"/>
    <mergeCell ref="J34:L34"/>
  </mergeCells>
  <phoneticPr fontId="14" type="noConversion"/>
  <conditionalFormatting sqref="B12 B15 B22 B25">
    <cfRule type="expression" dxfId="12" priority="7" stopIfTrue="1">
      <formula>$C12=1</formula>
    </cfRule>
    <cfRule type="expression" dxfId="11" priority="8" stopIfTrue="1">
      <formula>OR($C12=0,$C12=2,$C12=3,$C12=4)</formula>
    </cfRule>
  </conditionalFormatting>
  <conditionalFormatting sqref="B17">
    <cfRule type="expression" dxfId="10" priority="1" stopIfTrue="1">
      <formula>$C17=1</formula>
    </cfRule>
    <cfRule type="expression" dxfId="9" priority="2" stopIfTrue="1">
      <formula>OR($C17=0,$C17=2,$C17=3,$C17=4)</formula>
    </cfRule>
  </conditionalFormatting>
  <conditionalFormatting sqref="C11:C27">
    <cfRule type="expression" dxfId="8" priority="18" stopIfTrue="1">
      <formula>#REF!=1</formula>
    </cfRule>
    <cfRule type="expression" dxfId="7" priority="19" stopIfTrue="1">
      <formula>OR(#REF!=0,#REF!=2,#REF!=3,#REF!=4)</formula>
    </cfRule>
  </conditionalFormatting>
  <conditionalFormatting sqref="E13:G14 E16:G16 E18:G21 E23:G24 E26:G27">
    <cfRule type="expression" dxfId="6" priority="16" stopIfTrue="1">
      <formula>#REF!=1</formula>
    </cfRule>
    <cfRule type="expression" dxfId="5" priority="17" stopIfTrue="1">
      <formula>OR(#REF!=0,#REF!=2,#REF!=3,#REF!=4)</formula>
    </cfRule>
  </conditionalFormatting>
  <conditionalFormatting sqref="H9:H10 H13:H14 H16 H18:H21 H23:H24 H26:H27">
    <cfRule type="expression" dxfId="4" priority="39" stopIfTrue="1">
      <formula>OR(#REF!=0,#REF!=2,#REF!=3,#REF!=4)</formula>
    </cfRule>
    <cfRule type="expression" dxfId="3" priority="40" stopIfTrue="1">
      <formula>#REF!=1</formula>
    </cfRule>
  </conditionalFormatting>
  <conditionalFormatting sqref="H9:L10 H13:L14 H16:L16 H18:L21 H23:L24 H26:L27">
    <cfRule type="expression" dxfId="2" priority="38" stopIfTrue="1">
      <formula>ACOMPANHAMENTO="BM"</formula>
    </cfRule>
  </conditionalFormatting>
  <conditionalFormatting sqref="I9:L10 I13:L14 I16:L16 I18:L21 I23:L24 I26:L27">
    <cfRule type="expression" dxfId="1" priority="59" stopIfTrue="1">
      <formula>AND(#REF!&lt;&gt;".",OR(#REF!=0,#REF!=2,#REF!=3,#REF!=4,AND(#REF!="",#REF!&lt;&gt;"Empty"),OFFSET(#REF!,0,-1)=""))</formula>
    </cfRule>
    <cfRule type="expression" dxfId="0" priority="60" stopIfTrue="1">
      <formula>AND(#REF!=1,#REF!&lt;&gt;".")</formula>
    </cfRule>
  </conditionalFormatting>
  <dataValidations xWindow="406" yWindow="666" count="2">
    <dataValidation allowBlank="1" showInputMessage="1" showErrorMessage="1" prompt="A quantidade é digitada nas colunas Q em diante, após preencher o nome das frentes de obra na célula Q12 em diante" sqref="F23:F24 F26:F27 F18:F21 F13:F14 F16" xr:uid="{4B8BADBF-1D78-4CCB-B7D4-4F6F0027C514}"/>
    <dataValidation type="decimal" operator="greaterThan" allowBlank="1" showErrorMessage="1" error="Apenas números decimais maiores que zero." sqref="I18:L21 I26:L27 I13:L14 I16:L16 I23:L24" xr:uid="{E9188EB6-2007-4427-9BBE-81B451B70A7E}">
      <formula1>0</formula1>
      <formula2>0</formula2>
    </dataValidation>
  </dataValidations>
  <pageMargins left="0.511811024" right="0.511811024" top="0.78740157499999996" bottom="0.78740157499999996" header="0.31496062000000002" footer="0.31496062000000002"/>
  <pageSetup paperSize="9" scale="65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02061-65BD-4B3A-BA47-96E88A2518AC}">
  <sheetPr>
    <pageSetUpPr fitToPage="1"/>
  </sheetPr>
  <dimension ref="A1:I181"/>
  <sheetViews>
    <sheetView topLeftCell="A104" zoomScale="85" zoomScaleNormal="85" workbookViewId="0">
      <selection activeCell="O104" sqref="O104"/>
    </sheetView>
  </sheetViews>
  <sheetFormatPr defaultRowHeight="15" x14ac:dyDescent="0.25"/>
  <cols>
    <col min="1" max="1" width="2.5703125" customWidth="1"/>
    <col min="2" max="2" width="42.140625" customWidth="1"/>
    <col min="3" max="3" width="13.7109375" customWidth="1"/>
    <col min="4" max="4" width="12.42578125" customWidth="1"/>
    <col min="5" max="5" width="12.5703125" customWidth="1"/>
    <col min="6" max="6" width="12.140625" customWidth="1"/>
    <col min="7" max="7" width="17.5703125" customWidth="1"/>
    <col min="8" max="8" width="13.42578125" customWidth="1"/>
    <col min="9" max="9" width="2.28515625" customWidth="1"/>
  </cols>
  <sheetData>
    <row r="1" spans="1:9" x14ac:dyDescent="0.25">
      <c r="A1" s="271"/>
      <c r="B1" s="272"/>
      <c r="C1" s="272"/>
      <c r="D1" s="272"/>
      <c r="E1" s="272"/>
      <c r="F1" s="272"/>
      <c r="G1" s="272"/>
      <c r="H1" s="272"/>
      <c r="I1" s="273"/>
    </row>
    <row r="2" spans="1:9" x14ac:dyDescent="0.25">
      <c r="A2" s="274"/>
      <c r="B2" s="275" t="s">
        <v>143</v>
      </c>
      <c r="C2" s="275"/>
      <c r="D2" s="275"/>
      <c r="E2" s="275"/>
      <c r="F2" s="275"/>
      <c r="G2" s="275"/>
      <c r="H2" s="275"/>
      <c r="I2" s="276"/>
    </row>
    <row r="3" spans="1:9" x14ac:dyDescent="0.25">
      <c r="A3" s="274"/>
      <c r="B3" s="145"/>
      <c r="C3" s="277"/>
      <c r="D3" s="277"/>
      <c r="E3" s="277"/>
      <c r="F3" s="277"/>
      <c r="G3" s="277"/>
      <c r="H3" s="277"/>
      <c r="I3" s="276"/>
    </row>
    <row r="4" spans="1:9" x14ac:dyDescent="0.25">
      <c r="A4" s="274"/>
      <c r="B4" s="146" t="s">
        <v>2</v>
      </c>
      <c r="C4" s="278" t="s">
        <v>45</v>
      </c>
      <c r="D4" s="279"/>
      <c r="E4" s="279"/>
      <c r="F4" s="279"/>
      <c r="G4" s="279"/>
      <c r="H4" s="280"/>
      <c r="I4" s="276"/>
    </row>
    <row r="5" spans="1:9" ht="51" customHeight="1" x14ac:dyDescent="0.25">
      <c r="A5" s="274"/>
      <c r="B5" s="147" t="str">
        <f>ORÇAMENTO!B5</f>
        <v>Prefeitura Municipal de São João da Lagoa</v>
      </c>
      <c r="C5" s="281" t="str">
        <f>ORÇAMENTO!E5</f>
        <v>EXECUÇÃO DE PAVIMENTAÇÃO ASFÁLTICA EM CBUQ EM VIAS PÚBLICAS DA SEDE DO MUNICÍPIO DE SÃO JOÃO DA LAGOA/MG, CONTEMPLANDO TRECHOS DA RUA FELÍCIO BATISTA, CONTINUAÇÃO DA RUA LUIZ FERNANDES, RUA FILOMENO DE OLIVEIRA E RUA SÃO SEBASTIÃO, PT - 004683/2026 TRANSFERÊNCIA ESPECIAL ESTADUAL</v>
      </c>
      <c r="D5" s="282"/>
      <c r="E5" s="282"/>
      <c r="F5" s="282"/>
      <c r="G5" s="282"/>
      <c r="H5" s="283"/>
      <c r="I5" s="276"/>
    </row>
    <row r="6" spans="1:9" x14ac:dyDescent="0.25">
      <c r="A6" s="274"/>
      <c r="B6" s="148"/>
      <c r="C6" s="148"/>
      <c r="D6" s="149"/>
      <c r="E6" s="149"/>
      <c r="F6" s="148"/>
      <c r="G6" s="148"/>
      <c r="H6" s="148"/>
      <c r="I6" s="276"/>
    </row>
    <row r="7" spans="1:9" x14ac:dyDescent="0.25">
      <c r="A7" s="274"/>
      <c r="B7" s="150" t="s">
        <v>45</v>
      </c>
      <c r="C7" s="284" t="s">
        <v>136</v>
      </c>
      <c r="D7" s="285"/>
      <c r="E7" s="284" t="s">
        <v>49</v>
      </c>
      <c r="F7" s="286"/>
      <c r="G7" s="151" t="s">
        <v>71</v>
      </c>
      <c r="H7" s="152" t="s">
        <v>144</v>
      </c>
      <c r="I7" s="276"/>
    </row>
    <row r="8" spans="1:9" ht="50.25" customHeight="1" x14ac:dyDescent="0.25">
      <c r="A8" s="274"/>
      <c r="B8" s="153" t="str">
        <f>C5</f>
        <v>EXECUÇÃO DE PAVIMENTAÇÃO ASFÁLTICA EM CBUQ EM VIAS PÚBLICAS DA SEDE DO MUNICÍPIO DE SÃO JOÃO DA LAGOA/MG, CONTEMPLANDO TRECHOS DA RUA FELÍCIO BATISTA, CONTINUAÇÃO DA RUA LUIZ FERNANDES, RUA FILOMENO DE OLIVEIRA E RUA SÃO SEBASTIÃO, PT - 004683/2026 TRANSFERÊNCIA ESPECIAL ESTADUAL</v>
      </c>
      <c r="C8" s="287" t="s">
        <v>198</v>
      </c>
      <c r="D8" s="288"/>
      <c r="E8" s="287" t="s">
        <v>145</v>
      </c>
      <c r="F8" s="289"/>
      <c r="G8" s="154" t="s">
        <v>70</v>
      </c>
      <c r="H8" s="155">
        <f>[3]BDI!I28</f>
        <v>0</v>
      </c>
      <c r="I8" s="276"/>
    </row>
    <row r="9" spans="1:9" x14ac:dyDescent="0.25">
      <c r="A9" s="274"/>
      <c r="B9" s="290"/>
      <c r="C9" s="290"/>
      <c r="D9" s="290"/>
      <c r="E9" s="290"/>
      <c r="F9" s="290"/>
      <c r="G9" s="290"/>
      <c r="H9" s="290"/>
      <c r="I9" s="276"/>
    </row>
    <row r="10" spans="1:9" x14ac:dyDescent="0.25">
      <c r="A10" s="274"/>
      <c r="B10" s="291" t="s">
        <v>146</v>
      </c>
      <c r="C10" s="291"/>
      <c r="D10" s="291"/>
      <c r="E10" s="291"/>
      <c r="F10" s="291"/>
      <c r="G10" s="291"/>
      <c r="H10" s="291"/>
      <c r="I10" s="276"/>
    </row>
    <row r="11" spans="1:9" ht="24" x14ac:dyDescent="0.25">
      <c r="A11" s="274"/>
      <c r="B11" s="292" t="s">
        <v>147</v>
      </c>
      <c r="C11" s="292"/>
      <c r="D11" s="292"/>
      <c r="E11" s="156" t="s">
        <v>148</v>
      </c>
      <c r="F11" s="156" t="s">
        <v>149</v>
      </c>
      <c r="G11" s="156" t="s">
        <v>150</v>
      </c>
      <c r="H11" s="156" t="s">
        <v>151</v>
      </c>
      <c r="I11" s="276"/>
    </row>
    <row r="12" spans="1:9" ht="24" x14ac:dyDescent="0.25">
      <c r="A12" s="274"/>
      <c r="B12" s="293" t="s">
        <v>142</v>
      </c>
      <c r="C12" s="293"/>
      <c r="D12" s="293"/>
      <c r="E12" s="157" t="s">
        <v>120</v>
      </c>
      <c r="F12" s="158" t="s">
        <v>152</v>
      </c>
      <c r="G12" s="158" t="s">
        <v>153</v>
      </c>
      <c r="H12" s="159">
        <v>46181</v>
      </c>
      <c r="I12" s="276"/>
    </row>
    <row r="13" spans="1:9" x14ac:dyDescent="0.25">
      <c r="A13" s="274"/>
      <c r="B13" s="270"/>
      <c r="C13" s="270"/>
      <c r="D13" s="270"/>
      <c r="E13" s="270"/>
      <c r="F13" s="270"/>
      <c r="G13" s="270"/>
      <c r="H13" s="270"/>
      <c r="I13" s="276"/>
    </row>
    <row r="14" spans="1:9" x14ac:dyDescent="0.25">
      <c r="A14" s="274"/>
      <c r="B14" s="160" t="s">
        <v>154</v>
      </c>
      <c r="C14" s="161" t="s">
        <v>148</v>
      </c>
      <c r="D14" s="161" t="s">
        <v>155</v>
      </c>
      <c r="E14" s="161" t="s">
        <v>149</v>
      </c>
      <c r="F14" s="161" t="s">
        <v>156</v>
      </c>
      <c r="G14" s="161" t="s">
        <v>157</v>
      </c>
      <c r="H14" s="161" t="s">
        <v>158</v>
      </c>
      <c r="I14" s="276"/>
    </row>
    <row r="15" spans="1:9" ht="72" x14ac:dyDescent="0.25">
      <c r="A15" s="274"/>
      <c r="B15" s="162" t="s">
        <v>159</v>
      </c>
      <c r="C15" s="158">
        <v>91486</v>
      </c>
      <c r="D15" s="158" t="s">
        <v>60</v>
      </c>
      <c r="E15" s="161" t="s">
        <v>160</v>
      </c>
      <c r="F15" s="158">
        <v>5.1000000000000004E-3</v>
      </c>
      <c r="G15" s="163">
        <v>74.36</v>
      </c>
      <c r="H15" s="161">
        <f>ROUND(F15*G15,2)</f>
        <v>0.38</v>
      </c>
      <c r="I15" s="276"/>
    </row>
    <row r="16" spans="1:9" ht="72" x14ac:dyDescent="0.25">
      <c r="A16" s="274"/>
      <c r="B16" s="162" t="s">
        <v>161</v>
      </c>
      <c r="C16" s="158">
        <v>83362</v>
      </c>
      <c r="D16" s="158" t="s">
        <v>60</v>
      </c>
      <c r="E16" s="161" t="s">
        <v>162</v>
      </c>
      <c r="F16" s="158">
        <v>4.0000000000000002E-4</v>
      </c>
      <c r="G16" s="163">
        <v>299.17</v>
      </c>
      <c r="H16" s="161">
        <f>ROUND(F16*G16,2)</f>
        <v>0.12</v>
      </c>
      <c r="I16" s="276"/>
    </row>
    <row r="17" spans="1:9" ht="36" x14ac:dyDescent="0.25">
      <c r="A17" s="274"/>
      <c r="B17" s="162" t="s">
        <v>163</v>
      </c>
      <c r="C17" s="158">
        <v>89036</v>
      </c>
      <c r="D17" s="158" t="s">
        <v>60</v>
      </c>
      <c r="E17" s="161" t="s">
        <v>160</v>
      </c>
      <c r="F17" s="158">
        <v>3.8E-3</v>
      </c>
      <c r="G17" s="163">
        <v>60.86</v>
      </c>
      <c r="H17" s="161">
        <f t="shared" ref="H17:H20" si="0">ROUND(F17*G17,2)</f>
        <v>0.23</v>
      </c>
      <c r="I17" s="276"/>
    </row>
    <row r="18" spans="1:9" ht="36" x14ac:dyDescent="0.25">
      <c r="A18" s="274"/>
      <c r="B18" s="162" t="s">
        <v>164</v>
      </c>
      <c r="C18" s="158">
        <v>89035</v>
      </c>
      <c r="D18" s="158" t="s">
        <v>60</v>
      </c>
      <c r="E18" s="161" t="s">
        <v>162</v>
      </c>
      <c r="F18" s="158">
        <v>1.6999999999999999E-3</v>
      </c>
      <c r="G18" s="163">
        <v>157.05000000000001</v>
      </c>
      <c r="H18" s="161">
        <f t="shared" si="0"/>
        <v>0.27</v>
      </c>
      <c r="I18" s="276"/>
    </row>
    <row r="19" spans="1:9" ht="48" x14ac:dyDescent="0.25">
      <c r="A19" s="274"/>
      <c r="B19" s="162" t="s">
        <v>165</v>
      </c>
      <c r="C19" s="158">
        <v>5841</v>
      </c>
      <c r="D19" s="158" t="s">
        <v>60</v>
      </c>
      <c r="E19" s="161" t="s">
        <v>160</v>
      </c>
      <c r="F19" s="158">
        <v>4.0000000000000001E-3</v>
      </c>
      <c r="G19" s="163">
        <v>4.97</v>
      </c>
      <c r="H19" s="161">
        <f t="shared" si="0"/>
        <v>0.02</v>
      </c>
      <c r="I19" s="276"/>
    </row>
    <row r="20" spans="1:9" ht="48" x14ac:dyDescent="0.25">
      <c r="A20" s="274"/>
      <c r="B20" s="162" t="s">
        <v>166</v>
      </c>
      <c r="C20" s="158">
        <v>5839</v>
      </c>
      <c r="D20" s="158" t="s">
        <v>60</v>
      </c>
      <c r="E20" s="161" t="s">
        <v>162</v>
      </c>
      <c r="F20" s="158">
        <v>2E-3</v>
      </c>
      <c r="G20" s="163">
        <v>9.89</v>
      </c>
      <c r="H20" s="161">
        <f t="shared" si="0"/>
        <v>0.02</v>
      </c>
      <c r="I20" s="276"/>
    </row>
    <row r="21" spans="1:9" x14ac:dyDescent="0.25">
      <c r="A21" s="274"/>
      <c r="B21" s="294" t="s">
        <v>167</v>
      </c>
      <c r="C21" s="294"/>
      <c r="D21" s="294"/>
      <c r="E21" s="294"/>
      <c r="F21" s="294"/>
      <c r="G21" s="294"/>
      <c r="H21" s="165">
        <f>SUM(H15:H20)</f>
        <v>1.04</v>
      </c>
      <c r="I21" s="276"/>
    </row>
    <row r="22" spans="1:9" x14ac:dyDescent="0.25">
      <c r="A22" s="274"/>
      <c r="B22" s="160" t="s">
        <v>168</v>
      </c>
      <c r="C22" s="161" t="s">
        <v>148</v>
      </c>
      <c r="D22" s="161" t="s">
        <v>155</v>
      </c>
      <c r="E22" s="161" t="s">
        <v>149</v>
      </c>
      <c r="F22" s="161" t="s">
        <v>156</v>
      </c>
      <c r="G22" s="161" t="s">
        <v>157</v>
      </c>
      <c r="H22" s="161" t="s">
        <v>158</v>
      </c>
      <c r="I22" s="276"/>
    </row>
    <row r="23" spans="1:9" ht="24" x14ac:dyDescent="0.25">
      <c r="A23" s="274"/>
      <c r="B23" s="162" t="s">
        <v>169</v>
      </c>
      <c r="C23" s="158">
        <v>88316</v>
      </c>
      <c r="D23" s="158" t="s">
        <v>60</v>
      </c>
      <c r="E23" s="161" t="s">
        <v>170</v>
      </c>
      <c r="F23" s="158">
        <v>5.4999999999999997E-3</v>
      </c>
      <c r="G23" s="161">
        <v>23.58</v>
      </c>
      <c r="H23" s="161">
        <f>ROUND(F23*G23,2)</f>
        <v>0.13</v>
      </c>
      <c r="I23" s="276"/>
    </row>
    <row r="24" spans="1:9" x14ac:dyDescent="0.25">
      <c r="A24" s="274"/>
      <c r="B24" s="294" t="s">
        <v>171</v>
      </c>
      <c r="C24" s="294"/>
      <c r="D24" s="294"/>
      <c r="E24" s="294"/>
      <c r="F24" s="294"/>
      <c r="G24" s="294"/>
      <c r="H24" s="166">
        <f>H23</f>
        <v>0.13</v>
      </c>
      <c r="I24" s="276"/>
    </row>
    <row r="25" spans="1:9" x14ac:dyDescent="0.25">
      <c r="A25" s="274"/>
      <c r="B25" s="164" t="s">
        <v>172</v>
      </c>
      <c r="C25" s="295">
        <v>1</v>
      </c>
      <c r="D25" s="295"/>
      <c r="E25" s="294" t="s">
        <v>173</v>
      </c>
      <c r="F25" s="294"/>
      <c r="G25" s="294"/>
      <c r="H25" s="169">
        <f>H24+H21</f>
        <v>1.17</v>
      </c>
      <c r="I25" s="276"/>
    </row>
    <row r="26" spans="1:9" x14ac:dyDescent="0.25">
      <c r="A26" s="274"/>
      <c r="B26" s="294" t="s">
        <v>174</v>
      </c>
      <c r="C26" s="294"/>
      <c r="D26" s="294"/>
      <c r="E26" s="294" t="s">
        <v>175</v>
      </c>
      <c r="F26" s="294"/>
      <c r="G26" s="294"/>
      <c r="H26" s="164">
        <f>H25/C25</f>
        <v>1.17</v>
      </c>
      <c r="I26" s="276"/>
    </row>
    <row r="27" spans="1:9" x14ac:dyDescent="0.25">
      <c r="A27" s="274"/>
      <c r="B27" s="160" t="s">
        <v>176</v>
      </c>
      <c r="C27" s="161" t="s">
        <v>148</v>
      </c>
      <c r="D27" s="161" t="s">
        <v>155</v>
      </c>
      <c r="E27" s="161" t="s">
        <v>149</v>
      </c>
      <c r="F27" s="161" t="s">
        <v>156</v>
      </c>
      <c r="G27" s="161" t="s">
        <v>157</v>
      </c>
      <c r="H27" s="161" t="s">
        <v>158</v>
      </c>
      <c r="I27" s="276"/>
    </row>
    <row r="28" spans="1:9" x14ac:dyDescent="0.25">
      <c r="A28" s="274"/>
      <c r="B28" s="162" t="s">
        <v>177</v>
      </c>
      <c r="C28" s="158" t="s">
        <v>178</v>
      </c>
      <c r="D28" s="158" t="s">
        <v>179</v>
      </c>
      <c r="E28" s="161" t="s">
        <v>180</v>
      </c>
      <c r="F28" s="158">
        <v>0.45</v>
      </c>
      <c r="G28" s="161">
        <v>3.1</v>
      </c>
      <c r="H28" s="161">
        <f>ROUND(F28*G28,2)</f>
        <v>1.4</v>
      </c>
      <c r="I28" s="276"/>
    </row>
    <row r="29" spans="1:9" x14ac:dyDescent="0.25">
      <c r="A29" s="274"/>
      <c r="B29" s="294" t="s">
        <v>181</v>
      </c>
      <c r="C29" s="294"/>
      <c r="D29" s="294"/>
      <c r="E29" s="294"/>
      <c r="F29" s="294"/>
      <c r="G29" s="294"/>
      <c r="H29" s="166">
        <f>SUM(H28:H28)</f>
        <v>1.4</v>
      </c>
      <c r="I29" s="276"/>
    </row>
    <row r="30" spans="1:9" x14ac:dyDescent="0.25">
      <c r="A30" s="274"/>
      <c r="B30" s="160" t="s">
        <v>182</v>
      </c>
      <c r="C30" s="161" t="s">
        <v>148</v>
      </c>
      <c r="D30" s="161" t="s">
        <v>155</v>
      </c>
      <c r="E30" s="161" t="s">
        <v>149</v>
      </c>
      <c r="F30" s="161" t="s">
        <v>156</v>
      </c>
      <c r="G30" s="161" t="s">
        <v>157</v>
      </c>
      <c r="H30" s="161" t="s">
        <v>158</v>
      </c>
      <c r="I30" s="276"/>
    </row>
    <row r="31" spans="1:9" x14ac:dyDescent="0.25">
      <c r="A31" s="274"/>
      <c r="B31" s="167"/>
      <c r="C31" s="168"/>
      <c r="D31" s="168"/>
      <c r="E31" s="167"/>
      <c r="F31" s="168"/>
      <c r="G31" s="167"/>
      <c r="H31" s="167"/>
      <c r="I31" s="276"/>
    </row>
    <row r="32" spans="1:9" x14ac:dyDescent="0.25">
      <c r="A32" s="274"/>
      <c r="B32" s="294" t="s">
        <v>183</v>
      </c>
      <c r="C32" s="294"/>
      <c r="D32" s="294"/>
      <c r="E32" s="294"/>
      <c r="F32" s="294"/>
      <c r="G32" s="294"/>
      <c r="H32" s="164">
        <v>0</v>
      </c>
      <c r="I32" s="276"/>
    </row>
    <row r="33" spans="1:9" x14ac:dyDescent="0.25">
      <c r="A33" s="274"/>
      <c r="B33" s="294" t="s">
        <v>184</v>
      </c>
      <c r="C33" s="294"/>
      <c r="D33" s="294"/>
      <c r="E33" s="294"/>
      <c r="F33" s="294"/>
      <c r="G33" s="160" t="s">
        <v>152</v>
      </c>
      <c r="H33" s="169">
        <f>H32+H29+H26</f>
        <v>2.57</v>
      </c>
      <c r="I33" s="276"/>
    </row>
    <row r="34" spans="1:9" x14ac:dyDescent="0.25">
      <c r="A34" s="274"/>
      <c r="B34" s="294" t="s">
        <v>185</v>
      </c>
      <c r="C34" s="294"/>
      <c r="D34" s="294"/>
      <c r="E34" s="294"/>
      <c r="F34" s="294"/>
      <c r="G34" s="294"/>
      <c r="H34" s="168"/>
      <c r="I34" s="276"/>
    </row>
    <row r="35" spans="1:9" x14ac:dyDescent="0.25">
      <c r="A35" s="274"/>
      <c r="B35" s="294" t="s">
        <v>186</v>
      </c>
      <c r="C35" s="294"/>
      <c r="D35" s="294"/>
      <c r="E35" s="294"/>
      <c r="F35" s="294"/>
      <c r="G35" s="294"/>
      <c r="H35" s="169">
        <f>H33</f>
        <v>2.57</v>
      </c>
      <c r="I35" s="276"/>
    </row>
    <row r="36" spans="1:9" x14ac:dyDescent="0.25">
      <c r="A36" s="274"/>
      <c r="B36" s="296" t="s">
        <v>187</v>
      </c>
      <c r="C36" s="297"/>
      <c r="D36" s="297"/>
      <c r="E36" s="297"/>
      <c r="F36" s="297"/>
      <c r="G36" s="297"/>
      <c r="H36" s="298"/>
      <c r="I36" s="276"/>
    </row>
    <row r="37" spans="1:9" ht="36" customHeight="1" x14ac:dyDescent="0.25">
      <c r="A37" s="274"/>
      <c r="B37" s="299" t="s">
        <v>197</v>
      </c>
      <c r="C37" s="299"/>
      <c r="D37" s="299"/>
      <c r="E37" s="299"/>
      <c r="F37" s="299"/>
      <c r="G37" s="299"/>
      <c r="H37" s="299"/>
      <c r="I37" s="276"/>
    </row>
    <row r="38" spans="1:9" x14ac:dyDescent="0.25">
      <c r="A38" s="274"/>
      <c r="B38" s="300" t="s">
        <v>188</v>
      </c>
      <c r="C38" s="301"/>
      <c r="D38" s="301"/>
      <c r="E38" s="301"/>
      <c r="F38" s="301"/>
      <c r="G38" s="301"/>
      <c r="H38" s="302"/>
      <c r="I38" s="276"/>
    </row>
    <row r="39" spans="1:9" x14ac:dyDescent="0.25">
      <c r="A39" s="274"/>
      <c r="B39" s="303" t="s">
        <v>189</v>
      </c>
      <c r="C39" s="303"/>
      <c r="D39" s="303"/>
      <c r="E39" s="303"/>
      <c r="F39" s="303"/>
      <c r="G39" s="303"/>
      <c r="H39" s="303"/>
      <c r="I39" s="276"/>
    </row>
    <row r="40" spans="1:9" x14ac:dyDescent="0.25">
      <c r="A40" s="274"/>
      <c r="B40" s="304"/>
      <c r="C40" s="304"/>
      <c r="D40" s="304"/>
      <c r="E40" s="304"/>
      <c r="F40" s="304"/>
      <c r="G40" s="304"/>
      <c r="H40" s="304"/>
      <c r="I40" s="276"/>
    </row>
    <row r="41" spans="1:9" x14ac:dyDescent="0.25">
      <c r="A41" s="274"/>
      <c r="B41" s="170"/>
      <c r="C41" s="170"/>
      <c r="D41" s="170"/>
      <c r="E41" s="170"/>
      <c r="F41" s="170"/>
      <c r="G41" s="170"/>
      <c r="H41" s="170"/>
      <c r="I41" s="276"/>
    </row>
    <row r="42" spans="1:9" x14ac:dyDescent="0.25">
      <c r="A42" s="274"/>
      <c r="B42" s="170"/>
      <c r="C42" s="170"/>
      <c r="D42" s="170"/>
      <c r="E42" s="170"/>
      <c r="F42" s="170"/>
      <c r="G42" s="170"/>
      <c r="H42" s="170"/>
      <c r="I42" s="276"/>
    </row>
    <row r="43" spans="1:9" x14ac:dyDescent="0.25">
      <c r="A43" s="274"/>
      <c r="B43" s="170"/>
      <c r="C43" s="170"/>
      <c r="D43" s="170"/>
      <c r="E43" s="170"/>
      <c r="F43" s="170"/>
      <c r="G43" s="170"/>
      <c r="H43" s="170"/>
      <c r="I43" s="276"/>
    </row>
    <row r="44" spans="1:9" x14ac:dyDescent="0.25">
      <c r="A44" s="274"/>
      <c r="B44" s="170"/>
      <c r="C44" s="170"/>
      <c r="D44" s="170"/>
      <c r="E44" s="170"/>
      <c r="F44" s="170"/>
      <c r="G44" s="170"/>
      <c r="H44" s="170"/>
      <c r="I44" s="276"/>
    </row>
    <row r="45" spans="1:9" x14ac:dyDescent="0.25">
      <c r="A45" s="274"/>
      <c r="B45" s="170"/>
      <c r="C45" s="170"/>
      <c r="D45" s="170"/>
      <c r="E45" s="170"/>
      <c r="F45" s="170"/>
      <c r="G45" s="170"/>
      <c r="H45" s="170"/>
      <c r="I45" s="276"/>
    </row>
    <row r="46" spans="1:9" x14ac:dyDescent="0.25">
      <c r="A46" s="274"/>
      <c r="B46" s="170"/>
      <c r="C46" s="170"/>
      <c r="D46" s="170"/>
      <c r="E46" s="170"/>
      <c r="F46" s="170"/>
      <c r="G46" s="170"/>
      <c r="H46" s="170"/>
      <c r="I46" s="276"/>
    </row>
    <row r="47" spans="1:9" x14ac:dyDescent="0.25">
      <c r="A47" s="274"/>
      <c r="B47" s="170"/>
      <c r="C47" s="170"/>
      <c r="D47" s="170"/>
      <c r="E47" s="170"/>
      <c r="F47" s="170"/>
      <c r="G47" s="170"/>
      <c r="H47" s="170"/>
      <c r="I47" s="276"/>
    </row>
    <row r="48" spans="1:9" x14ac:dyDescent="0.25">
      <c r="A48" s="274"/>
      <c r="B48" s="170"/>
      <c r="C48" s="170"/>
      <c r="D48" s="170"/>
      <c r="E48" s="170"/>
      <c r="F48" s="170"/>
      <c r="G48" s="170"/>
      <c r="H48" s="170"/>
      <c r="I48" s="276"/>
    </row>
    <row r="49" spans="1:9" x14ac:dyDescent="0.25">
      <c r="A49" s="274"/>
      <c r="B49" s="170"/>
      <c r="C49" s="170"/>
      <c r="D49" s="170"/>
      <c r="E49" s="170"/>
      <c r="F49" s="170"/>
      <c r="G49" s="170"/>
      <c r="H49" s="170"/>
      <c r="I49" s="276"/>
    </row>
    <row r="50" spans="1:9" x14ac:dyDescent="0.25">
      <c r="A50" s="274"/>
      <c r="B50" s="170"/>
      <c r="C50" s="170"/>
      <c r="D50" s="170"/>
      <c r="E50" s="170"/>
      <c r="F50" s="170"/>
      <c r="G50" s="170"/>
      <c r="H50" s="170"/>
      <c r="I50" s="276"/>
    </row>
    <row r="51" spans="1:9" x14ac:dyDescent="0.25">
      <c r="A51" s="274"/>
      <c r="B51" s="170"/>
      <c r="C51" s="170"/>
      <c r="D51" s="170"/>
      <c r="E51" s="170"/>
      <c r="F51" s="170"/>
      <c r="G51" s="170"/>
      <c r="H51" s="170"/>
      <c r="I51" s="276"/>
    </row>
    <row r="52" spans="1:9" x14ac:dyDescent="0.25">
      <c r="A52" s="274"/>
      <c r="B52" s="170"/>
      <c r="C52" s="170"/>
      <c r="D52" s="170"/>
      <c r="E52" s="170"/>
      <c r="F52" s="170"/>
      <c r="G52" s="170"/>
      <c r="H52" s="170"/>
      <c r="I52" s="276"/>
    </row>
    <row r="53" spans="1:9" x14ac:dyDescent="0.25">
      <c r="A53" s="274"/>
      <c r="B53" s="170"/>
      <c r="C53" s="170"/>
      <c r="D53" s="170"/>
      <c r="E53" s="170"/>
      <c r="F53" s="170"/>
      <c r="G53" s="170"/>
      <c r="H53" s="170"/>
      <c r="I53" s="276"/>
    </row>
    <row r="54" spans="1:9" x14ac:dyDescent="0.25">
      <c r="A54" s="274"/>
      <c r="B54" s="170"/>
      <c r="C54" s="170"/>
      <c r="D54" s="170"/>
      <c r="E54" s="170"/>
      <c r="F54" s="170"/>
      <c r="G54" s="170"/>
      <c r="H54" s="170"/>
      <c r="I54" s="276"/>
    </row>
    <row r="55" spans="1:9" x14ac:dyDescent="0.25">
      <c r="A55" s="274"/>
      <c r="B55" s="170"/>
      <c r="C55" s="170"/>
      <c r="D55" s="170"/>
      <c r="E55" s="170"/>
      <c r="F55" s="170"/>
      <c r="G55" s="170"/>
      <c r="H55" s="170"/>
      <c r="I55" s="276"/>
    </row>
    <row r="56" spans="1:9" x14ac:dyDescent="0.25">
      <c r="A56" s="274"/>
      <c r="B56" s="170"/>
      <c r="C56" s="170"/>
      <c r="D56" s="170"/>
      <c r="E56" s="170"/>
      <c r="F56" s="170"/>
      <c r="G56" s="170"/>
      <c r="H56" s="170"/>
      <c r="I56" s="276"/>
    </row>
    <row r="57" spans="1:9" x14ac:dyDescent="0.25">
      <c r="A57" s="274"/>
      <c r="B57" s="170"/>
      <c r="C57" s="170"/>
      <c r="D57" s="170"/>
      <c r="E57" s="170"/>
      <c r="F57" s="170"/>
      <c r="G57" s="170"/>
      <c r="H57" s="170"/>
      <c r="I57" s="276"/>
    </row>
    <row r="58" spans="1:9" x14ac:dyDescent="0.25">
      <c r="A58" s="274"/>
      <c r="B58" s="170"/>
      <c r="C58" s="170"/>
      <c r="D58" s="170"/>
      <c r="E58" s="170"/>
      <c r="F58" s="170"/>
      <c r="G58" s="170"/>
      <c r="H58" s="170"/>
      <c r="I58" s="276"/>
    </row>
    <row r="59" spans="1:9" x14ac:dyDescent="0.25">
      <c r="A59" s="274"/>
      <c r="B59" s="170"/>
      <c r="C59" s="170"/>
      <c r="D59" s="170"/>
      <c r="E59" s="170"/>
      <c r="F59" s="170"/>
      <c r="G59" s="170"/>
      <c r="H59" s="170"/>
      <c r="I59" s="276"/>
    </row>
    <row r="60" spans="1:9" x14ac:dyDescent="0.25">
      <c r="A60" s="274"/>
      <c r="B60" s="170"/>
      <c r="C60" s="170"/>
      <c r="D60" s="170"/>
      <c r="E60" s="170"/>
      <c r="F60" s="170"/>
      <c r="G60" s="170"/>
      <c r="H60" s="170"/>
      <c r="I60" s="276"/>
    </row>
    <row r="61" spans="1:9" x14ac:dyDescent="0.25">
      <c r="A61" s="274"/>
      <c r="B61" s="170"/>
      <c r="C61" s="170"/>
      <c r="D61" s="170"/>
      <c r="E61" s="170"/>
      <c r="F61" s="170"/>
      <c r="G61" s="170"/>
      <c r="H61" s="170"/>
      <c r="I61" s="276"/>
    </row>
    <row r="62" spans="1:9" x14ac:dyDescent="0.25">
      <c r="A62" s="274"/>
      <c r="B62" s="170"/>
      <c r="C62" s="170"/>
      <c r="D62" s="170"/>
      <c r="E62" s="170"/>
      <c r="F62" s="170"/>
      <c r="G62" s="170"/>
      <c r="H62" s="170"/>
      <c r="I62" s="276"/>
    </row>
    <row r="63" spans="1:9" x14ac:dyDescent="0.25">
      <c r="A63" s="274"/>
      <c r="B63" s="170"/>
      <c r="C63" s="170"/>
      <c r="D63" s="170"/>
      <c r="E63" s="170"/>
      <c r="F63" s="170"/>
      <c r="G63" s="170"/>
      <c r="H63" s="170"/>
      <c r="I63" s="276"/>
    </row>
    <row r="64" spans="1:9" x14ac:dyDescent="0.25">
      <c r="A64" s="274"/>
      <c r="B64" s="170"/>
      <c r="C64" s="170"/>
      <c r="D64" s="170"/>
      <c r="E64" s="170"/>
      <c r="F64" s="170"/>
      <c r="G64" s="170"/>
      <c r="H64" s="170"/>
      <c r="I64" s="276"/>
    </row>
    <row r="65" spans="1:9" x14ac:dyDescent="0.25">
      <c r="A65" s="274"/>
      <c r="B65" s="170"/>
      <c r="C65" s="170"/>
      <c r="D65" s="170"/>
      <c r="E65" s="170"/>
      <c r="F65" s="170"/>
      <c r="G65" s="170"/>
      <c r="H65" s="170"/>
      <c r="I65" s="276"/>
    </row>
    <row r="66" spans="1:9" x14ac:dyDescent="0.25">
      <c r="A66" s="274"/>
      <c r="B66" s="170"/>
      <c r="C66" s="170"/>
      <c r="D66" s="170"/>
      <c r="E66" s="170"/>
      <c r="F66" s="170"/>
      <c r="G66" s="170"/>
      <c r="H66" s="170"/>
      <c r="I66" s="276"/>
    </row>
    <row r="67" spans="1:9" x14ac:dyDescent="0.25">
      <c r="A67" s="274"/>
      <c r="B67" s="170"/>
      <c r="C67" s="170"/>
      <c r="D67" s="170"/>
      <c r="E67" s="170"/>
      <c r="F67" s="170"/>
      <c r="G67" s="170"/>
      <c r="H67" s="170"/>
      <c r="I67" s="276"/>
    </row>
    <row r="68" spans="1:9" x14ac:dyDescent="0.25">
      <c r="A68" s="274"/>
      <c r="B68" s="170"/>
      <c r="C68" s="170"/>
      <c r="D68" s="170"/>
      <c r="E68" s="170"/>
      <c r="F68" s="170"/>
      <c r="G68" s="170"/>
      <c r="H68" s="170"/>
      <c r="I68" s="276"/>
    </row>
    <row r="69" spans="1:9" x14ac:dyDescent="0.25">
      <c r="A69" s="274"/>
      <c r="B69" s="170"/>
      <c r="C69" s="170"/>
      <c r="D69" s="170"/>
      <c r="E69" s="170"/>
      <c r="F69" s="170"/>
      <c r="G69" s="170"/>
      <c r="H69" s="170"/>
      <c r="I69" s="276"/>
    </row>
    <row r="70" spans="1:9" x14ac:dyDescent="0.25">
      <c r="A70" s="274"/>
      <c r="B70" s="170"/>
      <c r="C70" s="170"/>
      <c r="D70" s="170"/>
      <c r="E70" s="170"/>
      <c r="F70" s="170"/>
      <c r="G70" s="170"/>
      <c r="H70" s="170"/>
      <c r="I70" s="276"/>
    </row>
    <row r="71" spans="1:9" x14ac:dyDescent="0.25">
      <c r="A71" s="274"/>
      <c r="B71" s="170"/>
      <c r="C71" s="170"/>
      <c r="D71" s="170"/>
      <c r="E71" s="170"/>
      <c r="F71" s="170"/>
      <c r="G71" s="170"/>
      <c r="H71" s="170"/>
      <c r="I71" s="276"/>
    </row>
    <row r="72" spans="1:9" x14ac:dyDescent="0.25">
      <c r="A72" s="274"/>
      <c r="B72" s="170"/>
      <c r="C72" s="170"/>
      <c r="D72" s="170"/>
      <c r="E72" s="170"/>
      <c r="F72" s="170"/>
      <c r="G72" s="170"/>
      <c r="H72" s="170"/>
      <c r="I72" s="276"/>
    </row>
    <row r="73" spans="1:9" x14ac:dyDescent="0.25">
      <c r="A73" s="274"/>
      <c r="B73" s="170"/>
      <c r="C73" s="170"/>
      <c r="D73" s="170"/>
      <c r="E73" s="170"/>
      <c r="F73" s="170"/>
      <c r="G73" s="170"/>
      <c r="H73" s="170"/>
      <c r="I73" s="276"/>
    </row>
    <row r="74" spans="1:9" x14ac:dyDescent="0.25">
      <c r="A74" s="274"/>
      <c r="B74" s="170"/>
      <c r="C74" s="170"/>
      <c r="D74" s="170"/>
      <c r="E74" s="170"/>
      <c r="F74" s="170"/>
      <c r="G74" s="170"/>
      <c r="H74" s="170"/>
      <c r="I74" s="276"/>
    </row>
    <row r="75" spans="1:9" x14ac:dyDescent="0.25">
      <c r="A75" s="274"/>
      <c r="B75" s="170"/>
      <c r="C75" s="170"/>
      <c r="D75" s="170"/>
      <c r="E75" s="170"/>
      <c r="F75" s="170"/>
      <c r="G75" s="170"/>
      <c r="H75" s="170"/>
      <c r="I75" s="276"/>
    </row>
    <row r="76" spans="1:9" x14ac:dyDescent="0.25">
      <c r="A76" s="274"/>
      <c r="B76" s="170"/>
      <c r="C76" s="170"/>
      <c r="D76" s="170"/>
      <c r="E76" s="170"/>
      <c r="F76" s="170"/>
      <c r="G76" s="170"/>
      <c r="H76" s="170"/>
      <c r="I76" s="276"/>
    </row>
    <row r="77" spans="1:9" x14ac:dyDescent="0.25">
      <c r="A77" s="274"/>
      <c r="B77" s="170"/>
      <c r="C77" s="170"/>
      <c r="D77" s="170"/>
      <c r="E77" s="170"/>
      <c r="F77" s="170"/>
      <c r="G77" s="170"/>
      <c r="H77" s="170"/>
      <c r="I77" s="276"/>
    </row>
    <row r="78" spans="1:9" x14ac:dyDescent="0.25">
      <c r="A78" s="274"/>
      <c r="B78" s="170"/>
      <c r="C78" s="170"/>
      <c r="D78" s="170"/>
      <c r="E78" s="170"/>
      <c r="F78" s="170"/>
      <c r="G78" s="170"/>
      <c r="H78" s="170"/>
      <c r="I78" s="276"/>
    </row>
    <row r="79" spans="1:9" x14ac:dyDescent="0.25">
      <c r="A79" s="274"/>
      <c r="B79" s="170"/>
      <c r="C79" s="170"/>
      <c r="D79" s="170"/>
      <c r="E79" s="170"/>
      <c r="F79" s="170"/>
      <c r="G79" s="170"/>
      <c r="H79" s="170"/>
      <c r="I79" s="276"/>
    </row>
    <row r="80" spans="1:9" x14ac:dyDescent="0.25">
      <c r="A80" s="274"/>
      <c r="B80" s="170"/>
      <c r="C80" s="170"/>
      <c r="D80" s="170"/>
      <c r="E80" s="170"/>
      <c r="F80" s="170"/>
      <c r="G80" s="170"/>
      <c r="H80" s="170"/>
      <c r="I80" s="276"/>
    </row>
    <row r="81" spans="1:9" x14ac:dyDescent="0.25">
      <c r="A81" s="274"/>
      <c r="B81" s="170"/>
      <c r="C81" s="170"/>
      <c r="D81" s="170"/>
      <c r="E81" s="170"/>
      <c r="F81" s="170"/>
      <c r="G81" s="170"/>
      <c r="H81" s="170"/>
      <c r="I81" s="276"/>
    </row>
    <row r="82" spans="1:9" x14ac:dyDescent="0.25">
      <c r="A82" s="274"/>
      <c r="B82" s="170"/>
      <c r="C82" s="170"/>
      <c r="D82" s="170"/>
      <c r="E82" s="170"/>
      <c r="F82" s="170"/>
      <c r="G82" s="170"/>
      <c r="H82" s="170"/>
      <c r="I82" s="276"/>
    </row>
    <row r="83" spans="1:9" x14ac:dyDescent="0.25">
      <c r="A83" s="274"/>
      <c r="B83" s="170"/>
      <c r="C83" s="170"/>
      <c r="D83" s="170"/>
      <c r="E83" s="170"/>
      <c r="F83" s="170"/>
      <c r="G83" s="170"/>
      <c r="H83" s="170"/>
      <c r="I83" s="276"/>
    </row>
    <row r="84" spans="1:9" x14ac:dyDescent="0.25">
      <c r="A84" s="274"/>
      <c r="B84" s="170"/>
      <c r="C84" s="170"/>
      <c r="D84" s="170"/>
      <c r="E84" s="170"/>
      <c r="F84" s="170"/>
      <c r="G84" s="170"/>
      <c r="H84" s="170"/>
      <c r="I84" s="276"/>
    </row>
    <row r="85" spans="1:9" x14ac:dyDescent="0.25">
      <c r="A85" s="274"/>
      <c r="B85" s="170"/>
      <c r="C85" s="170"/>
      <c r="D85" s="170"/>
      <c r="E85" s="170"/>
      <c r="F85" s="170"/>
      <c r="G85" s="170"/>
      <c r="H85" s="170"/>
      <c r="I85" s="276"/>
    </row>
    <row r="86" spans="1:9" x14ac:dyDescent="0.25">
      <c r="A86" s="274"/>
      <c r="B86" s="170"/>
      <c r="C86" s="170"/>
      <c r="D86" s="170"/>
      <c r="E86" s="170"/>
      <c r="F86" s="170"/>
      <c r="G86" s="170"/>
      <c r="H86" s="170"/>
      <c r="I86" s="276"/>
    </row>
    <row r="87" spans="1:9" x14ac:dyDescent="0.25">
      <c r="A87" s="274"/>
      <c r="B87" s="170"/>
      <c r="C87" s="170"/>
      <c r="D87" s="170"/>
      <c r="E87" s="170"/>
      <c r="F87" s="170"/>
      <c r="G87" s="170"/>
      <c r="H87" s="170"/>
      <c r="I87" s="276"/>
    </row>
    <row r="88" spans="1:9" x14ac:dyDescent="0.25">
      <c r="A88" s="274"/>
      <c r="B88" s="170"/>
      <c r="C88" s="170"/>
      <c r="D88" s="170"/>
      <c r="E88" s="170"/>
      <c r="F88" s="170"/>
      <c r="G88" s="170"/>
      <c r="H88" s="170"/>
      <c r="I88" s="276"/>
    </row>
    <row r="89" spans="1:9" x14ac:dyDescent="0.25">
      <c r="A89" s="274"/>
      <c r="B89" s="170"/>
      <c r="C89" s="170"/>
      <c r="D89" s="170"/>
      <c r="E89" s="170"/>
      <c r="F89" s="170"/>
      <c r="G89" s="170"/>
      <c r="H89" s="170"/>
      <c r="I89" s="276"/>
    </row>
    <row r="90" spans="1:9" x14ac:dyDescent="0.25">
      <c r="A90" s="274"/>
      <c r="B90" s="170"/>
      <c r="C90" s="170"/>
      <c r="D90" s="170"/>
      <c r="E90" s="170"/>
      <c r="F90" s="170"/>
      <c r="G90" s="170"/>
      <c r="H90" s="170"/>
      <c r="I90" s="276"/>
    </row>
    <row r="91" spans="1:9" x14ac:dyDescent="0.25">
      <c r="A91" s="274"/>
      <c r="B91" s="170"/>
      <c r="C91" s="170"/>
      <c r="D91" s="170"/>
      <c r="E91" s="170"/>
      <c r="F91" s="170"/>
      <c r="G91" s="170"/>
      <c r="H91" s="170"/>
      <c r="I91" s="276"/>
    </row>
    <row r="92" spans="1:9" x14ac:dyDescent="0.25">
      <c r="A92" s="274"/>
      <c r="B92" s="170"/>
      <c r="C92" s="170"/>
      <c r="D92" s="170"/>
      <c r="E92" s="170"/>
      <c r="F92" s="170"/>
      <c r="G92" s="170"/>
      <c r="H92" s="170"/>
      <c r="I92" s="276"/>
    </row>
    <row r="93" spans="1:9" x14ac:dyDescent="0.25">
      <c r="A93" s="274"/>
      <c r="B93" s="170"/>
      <c r="C93" s="170"/>
      <c r="D93" s="170"/>
      <c r="E93" s="170"/>
      <c r="F93" s="170"/>
      <c r="G93" s="170"/>
      <c r="H93" s="170"/>
      <c r="I93" s="276"/>
    </row>
    <row r="94" spans="1:9" x14ac:dyDescent="0.25">
      <c r="A94" s="274"/>
      <c r="B94" s="170"/>
      <c r="C94" s="170"/>
      <c r="D94" s="170"/>
      <c r="E94" s="170"/>
      <c r="F94" s="170"/>
      <c r="G94" s="170"/>
      <c r="H94" s="170"/>
      <c r="I94" s="276"/>
    </row>
    <row r="95" spans="1:9" x14ac:dyDescent="0.25">
      <c r="A95" s="274"/>
      <c r="B95" s="170"/>
      <c r="C95" s="170"/>
      <c r="D95" s="170"/>
      <c r="E95" s="170"/>
      <c r="F95" s="170"/>
      <c r="G95" s="170"/>
      <c r="H95" s="170"/>
      <c r="I95" s="276"/>
    </row>
    <row r="96" spans="1:9" x14ac:dyDescent="0.25">
      <c r="A96" s="274"/>
      <c r="B96" s="170"/>
      <c r="C96" s="170"/>
      <c r="D96" s="170"/>
      <c r="E96" s="170"/>
      <c r="F96" s="170"/>
      <c r="G96" s="170"/>
      <c r="H96" s="170"/>
      <c r="I96" s="276"/>
    </row>
    <row r="97" spans="1:9" x14ac:dyDescent="0.25">
      <c r="A97" s="274"/>
      <c r="B97" s="170"/>
      <c r="C97" s="170"/>
      <c r="D97" s="170"/>
      <c r="E97" s="170"/>
      <c r="F97" s="170"/>
      <c r="G97" s="170"/>
      <c r="H97" s="170"/>
      <c r="I97" s="276"/>
    </row>
    <row r="98" spans="1:9" x14ac:dyDescent="0.25">
      <c r="A98" s="274"/>
      <c r="B98" s="170"/>
      <c r="C98" s="170"/>
      <c r="D98" s="170"/>
      <c r="E98" s="170"/>
      <c r="F98" s="170"/>
      <c r="G98" s="170"/>
      <c r="H98" s="170"/>
      <c r="I98" s="276"/>
    </row>
    <row r="99" spans="1:9" x14ac:dyDescent="0.25">
      <c r="A99" s="274"/>
      <c r="B99" s="170"/>
      <c r="C99" s="170"/>
      <c r="D99" s="170"/>
      <c r="E99" s="170"/>
      <c r="F99" s="170"/>
      <c r="G99" s="170"/>
      <c r="H99" s="170"/>
      <c r="I99" s="276"/>
    </row>
    <row r="100" spans="1:9" x14ac:dyDescent="0.25">
      <c r="A100" s="274"/>
      <c r="B100" s="170"/>
      <c r="C100" s="170"/>
      <c r="D100" s="170"/>
      <c r="E100" s="170"/>
      <c r="F100" s="170"/>
      <c r="G100" s="170"/>
      <c r="H100" s="170"/>
      <c r="I100" s="276"/>
    </row>
    <row r="101" spans="1:9" x14ac:dyDescent="0.25">
      <c r="A101" s="171"/>
      <c r="B101" s="172"/>
      <c r="C101" s="172"/>
      <c r="D101" s="172"/>
      <c r="E101" s="172"/>
      <c r="F101" s="172"/>
      <c r="G101" s="172"/>
      <c r="H101" s="172"/>
      <c r="I101" s="171"/>
    </row>
    <row r="102" spans="1:9" x14ac:dyDescent="0.25">
      <c r="A102" s="271"/>
      <c r="B102" s="272"/>
      <c r="C102" s="272"/>
      <c r="D102" s="272"/>
      <c r="E102" s="272"/>
      <c r="F102" s="272"/>
      <c r="G102" s="272"/>
      <c r="H102" s="272"/>
      <c r="I102" s="273"/>
    </row>
    <row r="103" spans="1:9" x14ac:dyDescent="0.25">
      <c r="A103" s="274"/>
      <c r="B103" s="291" t="s">
        <v>146</v>
      </c>
      <c r="C103" s="291"/>
      <c r="D103" s="291"/>
      <c r="E103" s="291"/>
      <c r="F103" s="291"/>
      <c r="G103" s="291"/>
      <c r="H103" s="291"/>
      <c r="I103" s="276"/>
    </row>
    <row r="104" spans="1:9" ht="24" x14ac:dyDescent="0.25">
      <c r="A104" s="274"/>
      <c r="B104" s="292" t="s">
        <v>147</v>
      </c>
      <c r="C104" s="292"/>
      <c r="D104" s="292"/>
      <c r="E104" s="156" t="s">
        <v>148</v>
      </c>
      <c r="F104" s="156" t="s">
        <v>149</v>
      </c>
      <c r="G104" s="156" t="s">
        <v>150</v>
      </c>
      <c r="H104" s="156" t="s">
        <v>151</v>
      </c>
      <c r="I104" s="276"/>
    </row>
    <row r="105" spans="1:9" ht="30.75" customHeight="1" x14ac:dyDescent="0.25">
      <c r="A105" s="274"/>
      <c r="B105" s="293" t="s">
        <v>190</v>
      </c>
      <c r="C105" s="293"/>
      <c r="D105" s="293"/>
      <c r="E105" s="157" t="s">
        <v>117</v>
      </c>
      <c r="F105" s="158" t="s">
        <v>152</v>
      </c>
      <c r="G105" s="158" t="s">
        <v>191</v>
      </c>
      <c r="H105" s="158" t="s">
        <v>192</v>
      </c>
      <c r="I105" s="276"/>
    </row>
    <row r="106" spans="1:9" x14ac:dyDescent="0.25">
      <c r="A106" s="274"/>
      <c r="B106" s="270"/>
      <c r="C106" s="270"/>
      <c r="D106" s="270"/>
      <c r="E106" s="270"/>
      <c r="F106" s="270"/>
      <c r="G106" s="270"/>
      <c r="H106" s="270"/>
      <c r="I106" s="276"/>
    </row>
    <row r="107" spans="1:9" x14ac:dyDescent="0.25">
      <c r="A107" s="274"/>
      <c r="B107" s="173" t="s">
        <v>154</v>
      </c>
      <c r="C107" s="174" t="s">
        <v>148</v>
      </c>
      <c r="D107" s="174" t="s">
        <v>155</v>
      </c>
      <c r="E107" s="174" t="s">
        <v>149</v>
      </c>
      <c r="F107" s="174" t="s">
        <v>156</v>
      </c>
      <c r="G107" s="174" t="s">
        <v>157</v>
      </c>
      <c r="H107" s="161" t="s">
        <v>158</v>
      </c>
      <c r="I107" s="276"/>
    </row>
    <row r="108" spans="1:9" ht="72" x14ac:dyDescent="0.25">
      <c r="A108" s="274"/>
      <c r="B108" s="162" t="s">
        <v>159</v>
      </c>
      <c r="C108" s="158">
        <v>91486</v>
      </c>
      <c r="D108" s="158" t="s">
        <v>60</v>
      </c>
      <c r="E108" s="161" t="s">
        <v>160</v>
      </c>
      <c r="F108" s="158">
        <v>4.8999999999999998E-3</v>
      </c>
      <c r="G108" s="163">
        <v>76.36</v>
      </c>
      <c r="H108" s="175">
        <f>ROUND(F108*G108,2)</f>
        <v>0.37</v>
      </c>
      <c r="I108" s="276"/>
    </row>
    <row r="109" spans="1:9" ht="72" x14ac:dyDescent="0.25">
      <c r="A109" s="274"/>
      <c r="B109" s="162" t="s">
        <v>161</v>
      </c>
      <c r="C109" s="158">
        <v>83362</v>
      </c>
      <c r="D109" s="158" t="s">
        <v>60</v>
      </c>
      <c r="E109" s="161" t="s">
        <v>162</v>
      </c>
      <c r="F109" s="158">
        <v>1E-3</v>
      </c>
      <c r="G109" s="163">
        <v>299.17</v>
      </c>
      <c r="H109" s="175">
        <f t="shared" ref="H109:H113" si="1">ROUND(F109*G109,2)</f>
        <v>0.3</v>
      </c>
      <c r="I109" s="276"/>
    </row>
    <row r="110" spans="1:9" ht="36" x14ac:dyDescent="0.25">
      <c r="A110" s="274"/>
      <c r="B110" s="162" t="s">
        <v>163</v>
      </c>
      <c r="C110" s="158">
        <v>89036</v>
      </c>
      <c r="D110" s="158" t="s">
        <v>60</v>
      </c>
      <c r="E110" s="161" t="s">
        <v>160</v>
      </c>
      <c r="F110" s="158">
        <v>4.1000000000000003E-3</v>
      </c>
      <c r="G110" s="163">
        <v>60.86</v>
      </c>
      <c r="H110" s="175">
        <f t="shared" si="1"/>
        <v>0.25</v>
      </c>
      <c r="I110" s="276"/>
    </row>
    <row r="111" spans="1:9" ht="36" x14ac:dyDescent="0.25">
      <c r="A111" s="274"/>
      <c r="B111" s="162" t="s">
        <v>164</v>
      </c>
      <c r="C111" s="158">
        <v>89035</v>
      </c>
      <c r="D111" s="158" t="s">
        <v>60</v>
      </c>
      <c r="E111" s="161" t="s">
        <v>162</v>
      </c>
      <c r="F111" s="158">
        <v>1.6999999999999999E-3</v>
      </c>
      <c r="G111" s="163">
        <v>157.05000000000001</v>
      </c>
      <c r="H111" s="175">
        <f t="shared" si="1"/>
        <v>0.27</v>
      </c>
      <c r="I111" s="276"/>
    </row>
    <row r="112" spans="1:9" ht="48" x14ac:dyDescent="0.25">
      <c r="A112" s="274"/>
      <c r="B112" s="162" t="s">
        <v>165</v>
      </c>
      <c r="C112" s="158">
        <v>5841</v>
      </c>
      <c r="D112" s="158" t="s">
        <v>60</v>
      </c>
      <c r="E112" s="161" t="s">
        <v>160</v>
      </c>
      <c r="F112" s="158">
        <v>4.0000000000000001E-3</v>
      </c>
      <c r="G112" s="163">
        <v>4.97</v>
      </c>
      <c r="H112" s="175">
        <f t="shared" si="1"/>
        <v>0.02</v>
      </c>
      <c r="I112" s="276"/>
    </row>
    <row r="113" spans="1:9" ht="48" x14ac:dyDescent="0.25">
      <c r="A113" s="274"/>
      <c r="B113" s="162" t="s">
        <v>166</v>
      </c>
      <c r="C113" s="158">
        <v>5839</v>
      </c>
      <c r="D113" s="158" t="s">
        <v>60</v>
      </c>
      <c r="E113" s="161" t="s">
        <v>162</v>
      </c>
      <c r="F113" s="158">
        <v>2E-3</v>
      </c>
      <c r="G113" s="163">
        <v>9.89</v>
      </c>
      <c r="H113" s="175">
        <f t="shared" si="1"/>
        <v>0.02</v>
      </c>
      <c r="I113" s="276"/>
    </row>
    <row r="114" spans="1:9" x14ac:dyDescent="0.25">
      <c r="A114" s="274"/>
      <c r="B114" s="294" t="s">
        <v>167</v>
      </c>
      <c r="C114" s="294"/>
      <c r="D114" s="294"/>
      <c r="E114" s="294"/>
      <c r="F114" s="294"/>
      <c r="G114" s="294"/>
      <c r="H114" s="165">
        <f>SUM(H108:H113)</f>
        <v>1.23</v>
      </c>
      <c r="I114" s="276"/>
    </row>
    <row r="115" spans="1:9" x14ac:dyDescent="0.25">
      <c r="A115" s="274"/>
      <c r="B115" s="160" t="s">
        <v>168</v>
      </c>
      <c r="C115" s="161" t="s">
        <v>148</v>
      </c>
      <c r="D115" s="161" t="s">
        <v>155</v>
      </c>
      <c r="E115" s="161" t="s">
        <v>149</v>
      </c>
      <c r="F115" s="161" t="s">
        <v>156</v>
      </c>
      <c r="G115" s="161" t="s">
        <v>157</v>
      </c>
      <c r="H115" s="161" t="s">
        <v>158</v>
      </c>
      <c r="I115" s="276"/>
    </row>
    <row r="116" spans="1:9" ht="24" x14ac:dyDescent="0.25">
      <c r="A116" s="274"/>
      <c r="B116" s="162" t="s">
        <v>169</v>
      </c>
      <c r="C116" s="158">
        <v>88316</v>
      </c>
      <c r="D116" s="158" t="s">
        <v>60</v>
      </c>
      <c r="E116" s="161" t="s">
        <v>170</v>
      </c>
      <c r="F116" s="158">
        <v>5.7999999999999996E-3</v>
      </c>
      <c r="G116" s="161">
        <v>23.58</v>
      </c>
      <c r="H116" s="175">
        <f t="shared" ref="H116" si="2">ROUND(F116*G116,2)</f>
        <v>0.14000000000000001</v>
      </c>
      <c r="I116" s="276"/>
    </row>
    <row r="117" spans="1:9" x14ac:dyDescent="0.25">
      <c r="A117" s="274"/>
      <c r="B117" s="294" t="s">
        <v>171</v>
      </c>
      <c r="C117" s="294"/>
      <c r="D117" s="294"/>
      <c r="E117" s="294"/>
      <c r="F117" s="294"/>
      <c r="G117" s="294"/>
      <c r="H117" s="165">
        <f>H116</f>
        <v>0.14000000000000001</v>
      </c>
      <c r="I117" s="276"/>
    </row>
    <row r="118" spans="1:9" x14ac:dyDescent="0.25">
      <c r="A118" s="274"/>
      <c r="B118" s="164" t="s">
        <v>172</v>
      </c>
      <c r="C118" s="295">
        <v>1</v>
      </c>
      <c r="D118" s="295"/>
      <c r="E118" s="294" t="s">
        <v>173</v>
      </c>
      <c r="F118" s="294"/>
      <c r="G118" s="294"/>
      <c r="H118" s="169">
        <f>SUM(H114+H117)</f>
        <v>1.37</v>
      </c>
      <c r="I118" s="276"/>
    </row>
    <row r="119" spans="1:9" x14ac:dyDescent="0.25">
      <c r="A119" s="274"/>
      <c r="B119" s="294" t="s">
        <v>174</v>
      </c>
      <c r="C119" s="294"/>
      <c r="D119" s="294"/>
      <c r="E119" s="294" t="s">
        <v>175</v>
      </c>
      <c r="F119" s="294"/>
      <c r="G119" s="294"/>
      <c r="H119" s="164">
        <f>H118/C118</f>
        <v>1.37</v>
      </c>
      <c r="I119" s="276"/>
    </row>
    <row r="120" spans="1:9" x14ac:dyDescent="0.25">
      <c r="A120" s="274"/>
      <c r="B120" s="160" t="s">
        <v>176</v>
      </c>
      <c r="C120" s="161" t="s">
        <v>148</v>
      </c>
      <c r="D120" s="161" t="s">
        <v>155</v>
      </c>
      <c r="E120" s="161" t="s">
        <v>149</v>
      </c>
      <c r="F120" s="161" t="s">
        <v>156</v>
      </c>
      <c r="G120" s="161" t="s">
        <v>157</v>
      </c>
      <c r="H120" s="161" t="s">
        <v>158</v>
      </c>
      <c r="I120" s="276"/>
    </row>
    <row r="121" spans="1:9" ht="24" x14ac:dyDescent="0.25">
      <c r="A121" s="274"/>
      <c r="B121" s="162" t="s">
        <v>193</v>
      </c>
      <c r="C121" s="158" t="s">
        <v>178</v>
      </c>
      <c r="D121" s="158" t="s">
        <v>179</v>
      </c>
      <c r="E121" s="161" t="s">
        <v>180</v>
      </c>
      <c r="F121" s="158">
        <v>1.2</v>
      </c>
      <c r="G121" s="161">
        <v>2.41</v>
      </c>
      <c r="H121" s="175">
        <f t="shared" ref="H121" si="3">ROUND(F121*G121,2)</f>
        <v>2.89</v>
      </c>
      <c r="I121" s="276"/>
    </row>
    <row r="122" spans="1:9" x14ac:dyDescent="0.25">
      <c r="A122" s="274"/>
      <c r="B122" s="294" t="s">
        <v>181</v>
      </c>
      <c r="C122" s="294"/>
      <c r="D122" s="294"/>
      <c r="E122" s="294"/>
      <c r="F122" s="294"/>
      <c r="G122" s="294"/>
      <c r="H122" s="169">
        <f>H121</f>
        <v>2.89</v>
      </c>
      <c r="I122" s="276"/>
    </row>
    <row r="123" spans="1:9" x14ac:dyDescent="0.25">
      <c r="A123" s="274"/>
      <c r="B123" s="160" t="s">
        <v>182</v>
      </c>
      <c r="C123" s="161" t="s">
        <v>148</v>
      </c>
      <c r="D123" s="161" t="s">
        <v>155</v>
      </c>
      <c r="E123" s="161" t="s">
        <v>149</v>
      </c>
      <c r="F123" s="161" t="s">
        <v>156</v>
      </c>
      <c r="G123" s="161" t="s">
        <v>157</v>
      </c>
      <c r="H123" s="161" t="s">
        <v>158</v>
      </c>
      <c r="I123" s="276"/>
    </row>
    <row r="124" spans="1:9" x14ac:dyDescent="0.25">
      <c r="A124" s="274"/>
      <c r="B124" s="167"/>
      <c r="C124" s="168"/>
      <c r="D124" s="168"/>
      <c r="E124" s="161">
        <v>0</v>
      </c>
      <c r="F124" s="168"/>
      <c r="G124" s="167"/>
      <c r="H124" s="161">
        <v>0</v>
      </c>
      <c r="I124" s="276"/>
    </row>
    <row r="125" spans="1:9" x14ac:dyDescent="0.25">
      <c r="A125" s="274"/>
      <c r="B125" s="294" t="s">
        <v>183</v>
      </c>
      <c r="C125" s="294"/>
      <c r="D125" s="294"/>
      <c r="E125" s="294"/>
      <c r="F125" s="294"/>
      <c r="G125" s="294"/>
      <c r="H125" s="164">
        <v>0</v>
      </c>
      <c r="I125" s="276"/>
    </row>
    <row r="126" spans="1:9" x14ac:dyDescent="0.25">
      <c r="A126" s="274"/>
      <c r="B126" s="294" t="s">
        <v>184</v>
      </c>
      <c r="C126" s="294"/>
      <c r="D126" s="294"/>
      <c r="E126" s="294"/>
      <c r="F126" s="294"/>
      <c r="G126" s="160" t="s">
        <v>152</v>
      </c>
      <c r="H126" s="169">
        <f>H119+H122+H125</f>
        <v>4.26</v>
      </c>
      <c r="I126" s="276"/>
    </row>
    <row r="127" spans="1:9" x14ac:dyDescent="0.25">
      <c r="A127" s="274"/>
      <c r="B127" s="294" t="s">
        <v>185</v>
      </c>
      <c r="C127" s="294"/>
      <c r="D127" s="294"/>
      <c r="E127" s="294"/>
      <c r="F127" s="294"/>
      <c r="G127" s="294"/>
      <c r="H127" s="168"/>
      <c r="I127" s="276"/>
    </row>
    <row r="128" spans="1:9" x14ac:dyDescent="0.25">
      <c r="A128" s="274"/>
      <c r="B128" s="294" t="s">
        <v>186</v>
      </c>
      <c r="C128" s="294"/>
      <c r="D128" s="294"/>
      <c r="E128" s="294"/>
      <c r="F128" s="294"/>
      <c r="G128" s="294"/>
      <c r="H128" s="164">
        <v>0</v>
      </c>
      <c r="I128" s="276"/>
    </row>
    <row r="129" spans="1:9" x14ac:dyDescent="0.25">
      <c r="A129" s="274"/>
      <c r="B129" s="176" t="s">
        <v>187</v>
      </c>
      <c r="C129" s="308"/>
      <c r="D129" s="308"/>
      <c r="E129" s="308"/>
      <c r="F129" s="308"/>
      <c r="G129" s="308"/>
      <c r="H129" s="308"/>
      <c r="I129" s="276"/>
    </row>
    <row r="130" spans="1:9" ht="42" customHeight="1" x14ac:dyDescent="0.25">
      <c r="A130" s="274"/>
      <c r="B130" s="293" t="s">
        <v>196</v>
      </c>
      <c r="C130" s="293"/>
      <c r="D130" s="293"/>
      <c r="E130" s="293"/>
      <c r="F130" s="293"/>
      <c r="G130" s="293"/>
      <c r="H130" s="293"/>
      <c r="I130" s="276"/>
    </row>
    <row r="131" spans="1:9" ht="21.75" customHeight="1" x14ac:dyDescent="0.25">
      <c r="A131" s="274"/>
      <c r="B131" s="309" t="s">
        <v>188</v>
      </c>
      <c r="C131" s="310"/>
      <c r="D131" s="310"/>
      <c r="E131" s="310"/>
      <c r="F131" s="310"/>
      <c r="G131" s="310"/>
      <c r="H131" s="311"/>
      <c r="I131" s="276"/>
    </row>
    <row r="132" spans="1:9" x14ac:dyDescent="0.25">
      <c r="A132" s="274"/>
      <c r="B132" s="312"/>
      <c r="C132" s="313"/>
      <c r="D132" s="313"/>
      <c r="E132" s="313"/>
      <c r="F132" s="313"/>
      <c r="G132" s="313"/>
      <c r="H132" s="314"/>
      <c r="I132" s="276"/>
    </row>
    <row r="133" spans="1:9" x14ac:dyDescent="0.25">
      <c r="A133" s="274"/>
      <c r="B133" s="315"/>
      <c r="C133" s="316"/>
      <c r="D133" s="316"/>
      <c r="E133" s="316"/>
      <c r="F133" s="316"/>
      <c r="G133" s="316"/>
      <c r="H133" s="317"/>
      <c r="I133" s="276"/>
    </row>
    <row r="134" spans="1:9" x14ac:dyDescent="0.25">
      <c r="A134" s="274"/>
      <c r="B134" s="303" t="s">
        <v>189</v>
      </c>
      <c r="C134" s="303"/>
      <c r="D134" s="303"/>
      <c r="E134" s="303"/>
      <c r="F134" s="303"/>
      <c r="G134" s="303"/>
      <c r="H134" s="303"/>
      <c r="I134" s="276"/>
    </row>
    <row r="135" spans="1:9" x14ac:dyDescent="0.25">
      <c r="A135" s="274"/>
      <c r="B135" s="318"/>
      <c r="C135" s="319"/>
      <c r="D135" s="319"/>
      <c r="E135" s="319"/>
      <c r="F135" s="319"/>
      <c r="G135" s="319"/>
      <c r="H135" s="320"/>
      <c r="I135" s="276"/>
    </row>
    <row r="136" spans="1:9" x14ac:dyDescent="0.25">
      <c r="A136" s="274"/>
      <c r="B136" s="323"/>
      <c r="C136" s="323"/>
      <c r="D136" s="323"/>
      <c r="E136" s="323"/>
      <c r="F136" s="323"/>
      <c r="G136" s="323"/>
      <c r="H136" s="323"/>
      <c r="I136" s="276"/>
    </row>
    <row r="137" spans="1:9" x14ac:dyDescent="0.25">
      <c r="A137" s="274"/>
      <c r="B137" s="324"/>
      <c r="C137" s="324"/>
      <c r="D137" s="324"/>
      <c r="E137" s="324"/>
      <c r="F137" s="324"/>
      <c r="G137" s="324"/>
      <c r="H137" s="324"/>
      <c r="I137" s="276"/>
    </row>
    <row r="138" spans="1:9" x14ac:dyDescent="0.25">
      <c r="A138" s="274"/>
      <c r="B138" s="324"/>
      <c r="C138" s="324"/>
      <c r="D138" s="324"/>
      <c r="E138" s="324"/>
      <c r="F138" s="324"/>
      <c r="G138" s="324"/>
      <c r="H138" s="324"/>
      <c r="I138" s="276"/>
    </row>
    <row r="139" spans="1:9" x14ac:dyDescent="0.25">
      <c r="A139" s="274"/>
      <c r="B139" s="324"/>
      <c r="C139" s="324"/>
      <c r="D139" s="324"/>
      <c r="E139" s="324"/>
      <c r="F139" s="324"/>
      <c r="G139" s="324"/>
      <c r="H139" s="324"/>
      <c r="I139" s="276"/>
    </row>
    <row r="140" spans="1:9" x14ac:dyDescent="0.25">
      <c r="A140" s="274"/>
      <c r="B140" s="324"/>
      <c r="C140" s="324"/>
      <c r="D140" s="324"/>
      <c r="E140" s="324"/>
      <c r="F140" s="324"/>
      <c r="G140" s="324"/>
      <c r="H140" s="324"/>
      <c r="I140" s="276"/>
    </row>
    <row r="141" spans="1:9" x14ac:dyDescent="0.25">
      <c r="A141" s="274"/>
      <c r="B141" s="324"/>
      <c r="C141" s="324"/>
      <c r="D141" s="324"/>
      <c r="E141" s="324"/>
      <c r="F141" s="324"/>
      <c r="G141" s="324"/>
      <c r="H141" s="324"/>
      <c r="I141" s="276"/>
    </row>
    <row r="142" spans="1:9" x14ac:dyDescent="0.25">
      <c r="A142" s="274"/>
      <c r="B142" s="324"/>
      <c r="C142" s="324"/>
      <c r="D142" s="324"/>
      <c r="E142" s="324"/>
      <c r="F142" s="324"/>
      <c r="G142" s="324"/>
      <c r="H142" s="324"/>
      <c r="I142" s="276"/>
    </row>
    <row r="143" spans="1:9" x14ac:dyDescent="0.25">
      <c r="A143" s="274"/>
      <c r="B143" s="324"/>
      <c r="C143" s="324"/>
      <c r="D143" s="324"/>
      <c r="E143" s="324"/>
      <c r="F143" s="324"/>
      <c r="G143" s="324"/>
      <c r="H143" s="324"/>
      <c r="I143" s="276"/>
    </row>
    <row r="144" spans="1:9" x14ac:dyDescent="0.25">
      <c r="A144" s="274"/>
      <c r="B144" s="324"/>
      <c r="C144" s="324"/>
      <c r="D144" s="324"/>
      <c r="E144" s="324"/>
      <c r="F144" s="324"/>
      <c r="G144" s="324"/>
      <c r="H144" s="324"/>
      <c r="I144" s="276"/>
    </row>
    <row r="145" spans="1:9" x14ac:dyDescent="0.25">
      <c r="A145" s="274"/>
      <c r="B145" s="324"/>
      <c r="C145" s="324"/>
      <c r="D145" s="324"/>
      <c r="E145" s="324"/>
      <c r="F145" s="324"/>
      <c r="G145" s="324"/>
      <c r="H145" s="324"/>
      <c r="I145" s="276"/>
    </row>
    <row r="146" spans="1:9" x14ac:dyDescent="0.25">
      <c r="A146" s="274"/>
      <c r="B146" s="324"/>
      <c r="C146" s="324"/>
      <c r="D146" s="324"/>
      <c r="E146" s="324"/>
      <c r="F146" s="324"/>
      <c r="G146" s="324"/>
      <c r="H146" s="324"/>
      <c r="I146" s="276"/>
    </row>
    <row r="147" spans="1:9" x14ac:dyDescent="0.25">
      <c r="A147" s="274"/>
      <c r="B147" s="324"/>
      <c r="C147" s="324"/>
      <c r="D147" s="324"/>
      <c r="E147" s="324"/>
      <c r="F147" s="324"/>
      <c r="G147" s="324"/>
      <c r="H147" s="324"/>
      <c r="I147" s="276"/>
    </row>
    <row r="148" spans="1:9" x14ac:dyDescent="0.25">
      <c r="A148" s="274"/>
      <c r="B148" s="324"/>
      <c r="C148" s="324"/>
      <c r="D148" s="324"/>
      <c r="E148" s="324"/>
      <c r="F148" s="324"/>
      <c r="G148" s="324"/>
      <c r="H148" s="324"/>
      <c r="I148" s="276"/>
    </row>
    <row r="149" spans="1:9" x14ac:dyDescent="0.25">
      <c r="A149" s="274"/>
      <c r="B149" s="324"/>
      <c r="C149" s="324"/>
      <c r="D149" s="324"/>
      <c r="E149" s="324"/>
      <c r="F149" s="324"/>
      <c r="G149" s="324"/>
      <c r="H149" s="324"/>
      <c r="I149" s="276"/>
    </row>
    <row r="150" spans="1:9" x14ac:dyDescent="0.25">
      <c r="A150" s="274"/>
      <c r="B150" s="324"/>
      <c r="C150" s="324"/>
      <c r="D150" s="324"/>
      <c r="E150" s="324"/>
      <c r="F150" s="324"/>
      <c r="G150" s="324"/>
      <c r="H150" s="324"/>
      <c r="I150" s="276"/>
    </row>
    <row r="151" spans="1:9" x14ac:dyDescent="0.25">
      <c r="A151" s="274"/>
      <c r="B151" s="324"/>
      <c r="C151" s="324"/>
      <c r="D151" s="324"/>
      <c r="E151" s="324"/>
      <c r="F151" s="324"/>
      <c r="G151" s="324"/>
      <c r="H151" s="324"/>
      <c r="I151" s="276"/>
    </row>
    <row r="152" spans="1:9" x14ac:dyDescent="0.25">
      <c r="A152" s="274"/>
      <c r="B152" s="324"/>
      <c r="C152" s="324"/>
      <c r="D152" s="324"/>
      <c r="E152" s="324"/>
      <c r="F152" s="324"/>
      <c r="G152" s="324"/>
      <c r="H152" s="324"/>
      <c r="I152" s="276"/>
    </row>
    <row r="153" spans="1:9" x14ac:dyDescent="0.25">
      <c r="A153" s="274"/>
      <c r="B153" s="324"/>
      <c r="C153" s="324"/>
      <c r="D153" s="324"/>
      <c r="E153" s="324"/>
      <c r="F153" s="324"/>
      <c r="G153" s="324"/>
      <c r="H153" s="324"/>
      <c r="I153" s="276"/>
    </row>
    <row r="154" spans="1:9" x14ac:dyDescent="0.25">
      <c r="A154" s="274"/>
      <c r="B154" s="324"/>
      <c r="C154" s="324"/>
      <c r="D154" s="324"/>
      <c r="E154" s="324"/>
      <c r="F154" s="324"/>
      <c r="G154" s="324"/>
      <c r="H154" s="324"/>
      <c r="I154" s="276"/>
    </row>
    <row r="155" spans="1:9" x14ac:dyDescent="0.25">
      <c r="A155" s="274"/>
      <c r="B155" s="324"/>
      <c r="C155" s="324"/>
      <c r="D155" s="324"/>
      <c r="E155" s="324"/>
      <c r="F155" s="324"/>
      <c r="G155" s="324"/>
      <c r="H155" s="324"/>
      <c r="I155" s="276"/>
    </row>
    <row r="156" spans="1:9" x14ac:dyDescent="0.25">
      <c r="A156" s="274"/>
      <c r="B156" s="324"/>
      <c r="C156" s="324"/>
      <c r="D156" s="324"/>
      <c r="E156" s="324"/>
      <c r="F156" s="324"/>
      <c r="G156" s="324"/>
      <c r="H156" s="324"/>
      <c r="I156" s="276"/>
    </row>
    <row r="157" spans="1:9" x14ac:dyDescent="0.25">
      <c r="A157" s="274"/>
      <c r="B157" s="324"/>
      <c r="C157" s="324"/>
      <c r="D157" s="324"/>
      <c r="E157" s="324"/>
      <c r="F157" s="324"/>
      <c r="G157" s="324"/>
      <c r="H157" s="324"/>
      <c r="I157" s="276"/>
    </row>
    <row r="158" spans="1:9" x14ac:dyDescent="0.25">
      <c r="A158" s="274"/>
      <c r="B158" s="324"/>
      <c r="C158" s="324"/>
      <c r="D158" s="324"/>
      <c r="E158" s="324"/>
      <c r="F158" s="324"/>
      <c r="G158" s="324"/>
      <c r="H158" s="324"/>
      <c r="I158" s="276"/>
    </row>
    <row r="159" spans="1:9" x14ac:dyDescent="0.25">
      <c r="A159" s="274"/>
      <c r="B159" s="324"/>
      <c r="C159" s="324"/>
      <c r="D159" s="324"/>
      <c r="E159" s="324"/>
      <c r="F159" s="324"/>
      <c r="G159" s="324"/>
      <c r="H159" s="324"/>
      <c r="I159" s="276"/>
    </row>
    <row r="160" spans="1:9" x14ac:dyDescent="0.25">
      <c r="A160" s="274"/>
      <c r="B160" s="324"/>
      <c r="C160" s="324"/>
      <c r="D160" s="324"/>
      <c r="E160" s="324"/>
      <c r="F160" s="324"/>
      <c r="G160" s="324"/>
      <c r="H160" s="324"/>
      <c r="I160" s="276"/>
    </row>
    <row r="161" spans="1:9" x14ac:dyDescent="0.25">
      <c r="A161" s="274"/>
      <c r="B161" s="324"/>
      <c r="C161" s="324"/>
      <c r="D161" s="324"/>
      <c r="E161" s="324"/>
      <c r="F161" s="324"/>
      <c r="G161" s="324"/>
      <c r="H161" s="324"/>
      <c r="I161" s="276"/>
    </row>
    <row r="162" spans="1:9" x14ac:dyDescent="0.25">
      <c r="A162" s="274"/>
      <c r="B162" s="324"/>
      <c r="C162" s="324"/>
      <c r="D162" s="324"/>
      <c r="E162" s="324"/>
      <c r="F162" s="324"/>
      <c r="G162" s="324"/>
      <c r="H162" s="324"/>
      <c r="I162" s="276"/>
    </row>
    <row r="163" spans="1:9" x14ac:dyDescent="0.25">
      <c r="A163" s="274"/>
      <c r="B163" s="324"/>
      <c r="C163" s="324"/>
      <c r="D163" s="324"/>
      <c r="E163" s="324"/>
      <c r="F163" s="324"/>
      <c r="G163" s="324"/>
      <c r="H163" s="324"/>
      <c r="I163" s="276"/>
    </row>
    <row r="164" spans="1:9" x14ac:dyDescent="0.25">
      <c r="A164" s="274"/>
      <c r="B164" s="324"/>
      <c r="C164" s="324"/>
      <c r="D164" s="324"/>
      <c r="E164" s="324"/>
      <c r="F164" s="324"/>
      <c r="G164" s="324"/>
      <c r="H164" s="324"/>
      <c r="I164" s="276"/>
    </row>
    <row r="165" spans="1:9" x14ac:dyDescent="0.25">
      <c r="A165" s="274"/>
      <c r="B165" s="324"/>
      <c r="C165" s="324"/>
      <c r="D165" s="324"/>
      <c r="E165" s="324"/>
      <c r="F165" s="324"/>
      <c r="G165" s="324"/>
      <c r="H165" s="324"/>
      <c r="I165" s="276"/>
    </row>
    <row r="166" spans="1:9" x14ac:dyDescent="0.25">
      <c r="A166" s="274"/>
      <c r="B166" s="324"/>
      <c r="C166" s="324"/>
      <c r="D166" s="324"/>
      <c r="E166" s="324"/>
      <c r="F166" s="324"/>
      <c r="G166" s="324"/>
      <c r="H166" s="324"/>
      <c r="I166" s="276"/>
    </row>
    <row r="167" spans="1:9" x14ac:dyDescent="0.25">
      <c r="A167" s="274"/>
      <c r="B167" s="324"/>
      <c r="C167" s="324"/>
      <c r="D167" s="324"/>
      <c r="E167" s="324"/>
      <c r="F167" s="324"/>
      <c r="G167" s="324"/>
      <c r="H167" s="324"/>
      <c r="I167" s="276"/>
    </row>
    <row r="168" spans="1:9" x14ac:dyDescent="0.25">
      <c r="A168" s="274"/>
      <c r="B168" s="324"/>
      <c r="C168" s="324"/>
      <c r="D168" s="324"/>
      <c r="E168" s="324"/>
      <c r="F168" s="324"/>
      <c r="G168" s="324"/>
      <c r="H168" s="324"/>
      <c r="I168" s="276"/>
    </row>
    <row r="169" spans="1:9" x14ac:dyDescent="0.25">
      <c r="A169" s="274"/>
      <c r="B169" s="324"/>
      <c r="C169" s="324"/>
      <c r="D169" s="324"/>
      <c r="E169" s="324"/>
      <c r="F169" s="324"/>
      <c r="G169" s="324"/>
      <c r="H169" s="324"/>
      <c r="I169" s="276"/>
    </row>
    <row r="170" spans="1:9" x14ac:dyDescent="0.25">
      <c r="A170" s="274"/>
      <c r="B170" s="324"/>
      <c r="C170" s="324"/>
      <c r="D170" s="324"/>
      <c r="E170" s="324"/>
      <c r="F170" s="324"/>
      <c r="G170" s="324"/>
      <c r="H170" s="324"/>
      <c r="I170" s="276"/>
    </row>
    <row r="171" spans="1:9" x14ac:dyDescent="0.25">
      <c r="A171" s="274"/>
      <c r="B171" s="324"/>
      <c r="C171" s="324"/>
      <c r="D171" s="324"/>
      <c r="E171" s="324"/>
      <c r="F171" s="324"/>
      <c r="G171" s="324"/>
      <c r="H171" s="324"/>
      <c r="I171" s="276"/>
    </row>
    <row r="172" spans="1:9" x14ac:dyDescent="0.25">
      <c r="A172" s="274"/>
      <c r="B172" s="324"/>
      <c r="C172" s="324"/>
      <c r="D172" s="324"/>
      <c r="E172" s="324"/>
      <c r="F172" s="324"/>
      <c r="G172" s="324"/>
      <c r="H172" s="324"/>
      <c r="I172" s="276"/>
    </row>
    <row r="173" spans="1:9" x14ac:dyDescent="0.25">
      <c r="A173" s="274"/>
      <c r="B173" s="325"/>
      <c r="C173" s="325"/>
      <c r="D173" s="325"/>
      <c r="E173" s="325"/>
      <c r="F173" s="325"/>
      <c r="G173" s="325"/>
      <c r="H173" s="325"/>
      <c r="I173" s="276"/>
    </row>
    <row r="174" spans="1:9" x14ac:dyDescent="0.25">
      <c r="A174" s="274"/>
      <c r="B174" s="321" t="s">
        <v>194</v>
      </c>
      <c r="C174" s="321"/>
      <c r="D174" s="321" t="s">
        <v>195</v>
      </c>
      <c r="E174" s="321"/>
      <c r="F174" s="321"/>
      <c r="G174" s="321"/>
      <c r="H174" s="321"/>
      <c r="I174" s="276"/>
    </row>
    <row r="175" spans="1:9" x14ac:dyDescent="0.25">
      <c r="A175" s="274"/>
      <c r="B175" s="322"/>
      <c r="C175" s="322"/>
      <c r="D175" s="322"/>
      <c r="E175" s="322"/>
      <c r="F175" s="322"/>
      <c r="G175" s="322"/>
      <c r="H175" s="322"/>
      <c r="I175" s="276"/>
    </row>
    <row r="176" spans="1:9" x14ac:dyDescent="0.25">
      <c r="A176" s="274"/>
      <c r="B176" s="322"/>
      <c r="C176" s="322"/>
      <c r="D176" s="322"/>
      <c r="E176" s="322"/>
      <c r="F176" s="322"/>
      <c r="G176" s="322"/>
      <c r="H176" s="322"/>
      <c r="I176" s="276"/>
    </row>
    <row r="177" spans="1:9" x14ac:dyDescent="0.25">
      <c r="A177" s="274"/>
      <c r="B177" s="322"/>
      <c r="C177" s="322"/>
      <c r="D177" s="322"/>
      <c r="E177" s="322"/>
      <c r="F177" s="322"/>
      <c r="G177" s="322"/>
      <c r="H177" s="322"/>
      <c r="I177" s="276"/>
    </row>
    <row r="178" spans="1:9" x14ac:dyDescent="0.25">
      <c r="A178" s="274"/>
      <c r="B178" s="322"/>
      <c r="C178" s="322"/>
      <c r="D178" s="322"/>
      <c r="E178" s="322"/>
      <c r="F178" s="322"/>
      <c r="G178" s="322"/>
      <c r="H178" s="322"/>
      <c r="I178" s="276"/>
    </row>
    <row r="179" spans="1:9" x14ac:dyDescent="0.25">
      <c r="A179" s="274"/>
      <c r="B179" s="322"/>
      <c r="C179" s="322"/>
      <c r="D179" s="322"/>
      <c r="E179" s="322"/>
      <c r="F179" s="322"/>
      <c r="G179" s="322"/>
      <c r="H179" s="322"/>
      <c r="I179" s="276"/>
    </row>
    <row r="180" spans="1:9" x14ac:dyDescent="0.25">
      <c r="A180" s="274"/>
      <c r="B180" s="322"/>
      <c r="C180" s="322"/>
      <c r="D180" s="322"/>
      <c r="E180" s="322"/>
      <c r="F180" s="322"/>
      <c r="G180" s="322"/>
      <c r="H180" s="322"/>
      <c r="I180" s="276"/>
    </row>
    <row r="181" spans="1:9" x14ac:dyDescent="0.25">
      <c r="A181" s="305"/>
      <c r="B181" s="307"/>
      <c r="C181" s="307"/>
      <c r="D181" s="307"/>
      <c r="E181" s="307"/>
      <c r="F181" s="307"/>
      <c r="G181" s="307"/>
      <c r="H181" s="307"/>
      <c r="I181" s="306"/>
    </row>
  </sheetData>
  <mergeCells count="61">
    <mergeCell ref="B181:H181"/>
    <mergeCell ref="B128:G128"/>
    <mergeCell ref="C129:H129"/>
    <mergeCell ref="B130:H130"/>
    <mergeCell ref="B131:H133"/>
    <mergeCell ref="B134:H134"/>
    <mergeCell ref="B135:H135"/>
    <mergeCell ref="B174:C174"/>
    <mergeCell ref="D174:H174"/>
    <mergeCell ref="B175:C180"/>
    <mergeCell ref="D175:H180"/>
    <mergeCell ref="B136:H173"/>
    <mergeCell ref="B127:G127"/>
    <mergeCell ref="A103:A181"/>
    <mergeCell ref="B103:H103"/>
    <mergeCell ref="I103:I181"/>
    <mergeCell ref="B104:D104"/>
    <mergeCell ref="B105:D105"/>
    <mergeCell ref="B106:H106"/>
    <mergeCell ref="B114:G114"/>
    <mergeCell ref="B117:G117"/>
    <mergeCell ref="C118:D118"/>
    <mergeCell ref="E118:G118"/>
    <mergeCell ref="B119:D119"/>
    <mergeCell ref="E119:G119"/>
    <mergeCell ref="B122:G122"/>
    <mergeCell ref="B125:G125"/>
    <mergeCell ref="B126:F126"/>
    <mergeCell ref="A102:I102"/>
    <mergeCell ref="B29:G29"/>
    <mergeCell ref="B32:G32"/>
    <mergeCell ref="B33:F33"/>
    <mergeCell ref="B34:G34"/>
    <mergeCell ref="B35:G35"/>
    <mergeCell ref="B36:H36"/>
    <mergeCell ref="B37:H37"/>
    <mergeCell ref="B38:H38"/>
    <mergeCell ref="B39:H39"/>
    <mergeCell ref="B40:H40"/>
    <mergeCell ref="B21:G21"/>
    <mergeCell ref="B24:G24"/>
    <mergeCell ref="C25:D25"/>
    <mergeCell ref="E25:G25"/>
    <mergeCell ref="B26:D26"/>
    <mergeCell ref="E26:G26"/>
    <mergeCell ref="B13:H13"/>
    <mergeCell ref="A1:I1"/>
    <mergeCell ref="A2:A100"/>
    <mergeCell ref="B2:H2"/>
    <mergeCell ref="I2:I100"/>
    <mergeCell ref="C3:H3"/>
    <mergeCell ref="C4:H4"/>
    <mergeCell ref="C5:H5"/>
    <mergeCell ref="C7:D7"/>
    <mergeCell ref="E7:F7"/>
    <mergeCell ref="C8:D8"/>
    <mergeCell ref="E8:F8"/>
    <mergeCell ref="B9:H9"/>
    <mergeCell ref="B10:H10"/>
    <mergeCell ref="B11:D11"/>
    <mergeCell ref="B12:D1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3</vt:i4>
      </vt:variant>
    </vt:vector>
  </HeadingPairs>
  <TitlesOfParts>
    <vt:vector size="8" baseType="lpstr">
      <vt:lpstr>BDI</vt:lpstr>
      <vt:lpstr>ORÇAMENTO</vt:lpstr>
      <vt:lpstr>CRONOGRAMA</vt:lpstr>
      <vt:lpstr>MEMÓRIA DE CÁLCULO</vt:lpstr>
      <vt:lpstr>COMPOSIÇÃO</vt:lpstr>
      <vt:lpstr>COMPOSIÇÃO!Area_de_impressao</vt:lpstr>
      <vt:lpstr>'MEMÓRIA DE CÁLCULO'!Area_de_impressao</vt:lpstr>
      <vt:lpstr>ORÇAMENTO!Area_de_impressao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Peterson Amaral Lima</dc:creator>
  <cp:lastModifiedBy>Leonardo Peterson Amaral Lima</cp:lastModifiedBy>
  <cp:lastPrinted>2026-08-20T12:07:38Z</cp:lastPrinted>
  <dcterms:created xsi:type="dcterms:W3CDTF">2025-04-02T15:14:09Z</dcterms:created>
  <dcterms:modified xsi:type="dcterms:W3CDTF">2026-08-20T12:14:26Z</dcterms:modified>
</cp:coreProperties>
</file>